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45" windowWidth="19260" windowHeight="4605" activeTab="0"/>
  </bookViews>
  <sheets>
    <sheet name="Title" sheetId="1" r:id="rId1"/>
    <sheet name="Key Parameters" sheetId="2" r:id="rId2"/>
    <sheet name="Pond Description" sheetId="3" r:id="rId3"/>
    <sheet name="Production Tables" sheetId="4" state="hidden" r:id="rId4"/>
    <sheet name="Juveniles &amp; Nursery" sheetId="5" r:id="rId5"/>
    <sheet name="Production Parameters" sheetId="6" r:id="rId6"/>
    <sheet name="Production Summary" sheetId="7" r:id="rId7"/>
    <sheet name="Processing" sheetId="8" r:id="rId8"/>
    <sheet name="Revenue" sheetId="9" r:id="rId9"/>
    <sheet name="Labour" sheetId="10" r:id="rId10"/>
    <sheet name="Additional Operating Expenses" sheetId="11" r:id="rId11"/>
    <sheet name="Capital Expenditure" sheetId="12" r:id="rId12"/>
    <sheet name="DCF" sheetId="13" state="hidden" r:id="rId13"/>
    <sheet name="Summary" sheetId="14" r:id="rId14"/>
    <sheet name="Graphs" sheetId="15" r:id="rId15"/>
    <sheet name="Risk Analysis" sheetId="16" r:id="rId16"/>
    <sheet name="Production Risk" sheetId="17" state="hidden" r:id="rId17"/>
    <sheet name="Price Risk" sheetId="18" state="hidden" r:id="rId18"/>
    <sheet name="Simulation" sheetId="19" state="hidden" r:id="rId19"/>
  </sheets>
  <definedNames>
    <definedName name="risk" localSheetId="15">'Risk Analysis'!$A$1</definedName>
    <definedName name="risk">'Risk Analysis'!$A$1</definedName>
    <definedName name="RiskSimOutput" localSheetId="18">'Simulation'!$A$9:$B$258</definedName>
    <definedName name="RiskSimOutput">'Simulation'!$A$9:$B$258</definedName>
    <definedName name="Sim" localSheetId="18">'Simulation'!$A$1</definedName>
    <definedName name="Sim">'Simulation'!$A$1</definedName>
    <definedName name="SortingOutput" localSheetId="18">'Simulation'!$B$9:$B$258</definedName>
    <definedName name="SortingOutput">'Simulation'!$B$9:$B$258</definedName>
    <definedName name="SortStart" localSheetId="18">'Simulation'!$B$9</definedName>
    <definedName name="SortStart">'Simulation'!$B$9</definedName>
    <definedName name="Start" localSheetId="18">'Simulation'!$A$8</definedName>
    <definedName name="Start">'Simulation'!$A$8</definedName>
  </definedNames>
  <calcPr fullCalcOnLoad="1"/>
</workbook>
</file>

<file path=xl/sharedStrings.xml><?xml version="1.0" encoding="utf-8"?>
<sst xmlns="http://schemas.openxmlformats.org/spreadsheetml/2006/main" count="483" uniqueCount="320">
  <si>
    <t>Production Parameters</t>
  </si>
  <si>
    <t>Pond surface area</t>
  </si>
  <si>
    <t>Number of ponds</t>
  </si>
  <si>
    <t>metres</t>
  </si>
  <si>
    <t>hectares</t>
  </si>
  <si>
    <t>Initial stocking density of sandfish</t>
  </si>
  <si>
    <t>per square metre</t>
  </si>
  <si>
    <t>Length of production</t>
  </si>
  <si>
    <t>months</t>
  </si>
  <si>
    <t>Pond dry-out following harvest</t>
  </si>
  <si>
    <t>month(s)</t>
  </si>
  <si>
    <t>Growth Parameters</t>
  </si>
  <si>
    <t>grams</t>
  </si>
  <si>
    <t>grams per day</t>
  </si>
  <si>
    <t>Expected weight gain over production cycle</t>
  </si>
  <si>
    <t>Expected survival of sandfish over prodiction cycle</t>
  </si>
  <si>
    <t>Number of sandfish per pond</t>
  </si>
  <si>
    <t>Number of sandfish stocked per pond</t>
  </si>
  <si>
    <t>Pond Production</t>
  </si>
  <si>
    <t>Total farm production</t>
  </si>
  <si>
    <t>Production of sandfish per pond</t>
  </si>
  <si>
    <t>kilograms</t>
  </si>
  <si>
    <t>Target density of sandfish at harvest</t>
  </si>
  <si>
    <t>square metres</t>
  </si>
  <si>
    <t>Productive area per pond</t>
  </si>
  <si>
    <t>per kilogram</t>
  </si>
  <si>
    <t>Number</t>
  </si>
  <si>
    <t>Total</t>
  </si>
  <si>
    <t>Cost per kilogram</t>
  </si>
  <si>
    <t>Reference</t>
  </si>
  <si>
    <t>Year</t>
  </si>
  <si>
    <t>Month Start</t>
  </si>
  <si>
    <t>Month Finish</t>
  </si>
  <si>
    <t>Harvest Month</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</si>
  <si>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</si>
  <si>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</si>
  <si>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</si>
  <si>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</si>
  <si>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</si>
  <si>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</si>
  <si>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</si>
  <si>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</si>
  <si>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</si>
  <si>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</si>
  <si>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</si>
  <si>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</si>
  <si>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</si>
  <si>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</si>
  <si>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</si>
  <si>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</si>
  <si>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</si>
  <si>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</si>
  <si>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</si>
  <si>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</si>
  <si>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Kg</t>
  </si>
  <si>
    <t>Labour Requirements</t>
  </si>
  <si>
    <t>Number of employees</t>
  </si>
  <si>
    <t>Annual expense</t>
  </si>
  <si>
    <t xml:space="preserve">Weekly salary </t>
  </si>
  <si>
    <t>Farm manager</t>
  </si>
  <si>
    <t>Annual salary</t>
  </si>
  <si>
    <t>Additional Operating Expenses</t>
  </si>
  <si>
    <t>Fuel and oil</t>
  </si>
  <si>
    <t>Water supply or pumping licences</t>
  </si>
  <si>
    <t>Repairs and maintenance</t>
  </si>
  <si>
    <t>Aquaculture licences and permits</t>
  </si>
  <si>
    <t>Electricity</t>
  </si>
  <si>
    <t>Accounting and legal</t>
  </si>
  <si>
    <t>Chemicals (cleaning)</t>
  </si>
  <si>
    <t>Administrative expenses</t>
  </si>
  <si>
    <t>Chemicals (medicinal)</t>
  </si>
  <si>
    <t>Phone (domestic and mobile)</t>
  </si>
  <si>
    <t>Miscellaneous items</t>
  </si>
  <si>
    <t>Travel (related to business)</t>
  </si>
  <si>
    <t>Vehicle registrations</t>
  </si>
  <si>
    <t>Vehicle insurance</t>
  </si>
  <si>
    <t>Other insurances</t>
  </si>
  <si>
    <t>Capital Cost of Farm</t>
  </si>
  <si>
    <t>Project Length (Years)</t>
  </si>
  <si>
    <t>Capital Item</t>
  </si>
  <si>
    <t>No. of items</t>
  </si>
  <si>
    <t>Cost of items ($)</t>
  </si>
  <si>
    <t>Total cost ($)</t>
  </si>
  <si>
    <t>Year of purchase</t>
  </si>
  <si>
    <t>Life (years)</t>
  </si>
  <si>
    <t>Salvage value (%)</t>
  </si>
  <si>
    <t>Salvage value ($)</t>
  </si>
  <si>
    <t>Replacement cost ($)</t>
  </si>
  <si>
    <t>Land and Buildings</t>
  </si>
  <si>
    <t>Land</t>
  </si>
  <si>
    <t xml:space="preserve"> -</t>
  </si>
  <si>
    <t>Electricity connection</t>
  </si>
  <si>
    <t>Vehicles and Machinery</t>
  </si>
  <si>
    <t xml:space="preserve"> </t>
  </si>
  <si>
    <t>Other</t>
  </si>
  <si>
    <t>Ponds</t>
  </si>
  <si>
    <t>Pond piping and infrastructure (per pond)</t>
  </si>
  <si>
    <t>Aerators</t>
  </si>
  <si>
    <t>Other Infrastructure and Equipment</t>
  </si>
  <si>
    <t>Generator</t>
  </si>
  <si>
    <t>Pumps</t>
  </si>
  <si>
    <t>Water monitoring equipment (and other testing)</t>
  </si>
  <si>
    <t xml:space="preserve">Harvesting equipment </t>
  </si>
  <si>
    <t>Scales</t>
  </si>
  <si>
    <t>Workshop tools and equipment</t>
  </si>
  <si>
    <t>Total capital outlay</t>
  </si>
  <si>
    <t>Initial Purchase</t>
  </si>
  <si>
    <t>Sum</t>
  </si>
  <si>
    <t>Salvage</t>
  </si>
  <si>
    <t>Growout pond construction (per pond)</t>
  </si>
  <si>
    <t>Revenue</t>
  </si>
  <si>
    <t>Discounted Cash Flow</t>
  </si>
  <si>
    <t>Discount Rate Used</t>
  </si>
  <si>
    <t>Production</t>
  </si>
  <si>
    <t>Total Revenue</t>
  </si>
  <si>
    <t>Labour</t>
  </si>
  <si>
    <t>F.O.R.M.</t>
  </si>
  <si>
    <t>Operating</t>
  </si>
  <si>
    <t>Capital</t>
  </si>
  <si>
    <t>Annual Cash Flow</t>
  </si>
  <si>
    <t>Discounted Cumulative</t>
  </si>
  <si>
    <t>Present value</t>
  </si>
  <si>
    <t>Average per year ($)</t>
  </si>
  <si>
    <t>Average/kg ($)</t>
  </si>
  <si>
    <t>Total NPV</t>
  </si>
  <si>
    <t>Equivalent Annual Return</t>
  </si>
  <si>
    <t>IRR</t>
  </si>
  <si>
    <t>Summary Statistics</t>
  </si>
  <si>
    <t>Output summary</t>
  </si>
  <si>
    <t>Economic indicators</t>
  </si>
  <si>
    <t>Annual production (kg)</t>
  </si>
  <si>
    <t>Net present value</t>
  </si>
  <si>
    <t>Annual gross revenue</t>
  </si>
  <si>
    <t>Annual return</t>
  </si>
  <si>
    <t>Annual production cost</t>
  </si>
  <si>
    <t>Internal rate of return</t>
  </si>
  <si>
    <t>Production cost per kilogram</t>
  </si>
  <si>
    <t>Benefit - cost ratio</t>
  </si>
  <si>
    <t>Cost structure summary</t>
  </si>
  <si>
    <t>Annual cost</t>
  </si>
  <si>
    <t xml:space="preserve">Average growth rate over production period </t>
  </si>
  <si>
    <t>Drying weight loss</t>
  </si>
  <si>
    <t>Final weight of sandfish after drying</t>
  </si>
  <si>
    <t>Drying Process</t>
  </si>
  <si>
    <t>Grade A</t>
  </si>
  <si>
    <t>Grade B</t>
  </si>
  <si>
    <t>Grade C</t>
  </si>
  <si>
    <t>Quantity (kg)</t>
  </si>
  <si>
    <t>Processing &amp; Packing</t>
  </si>
  <si>
    <t>Packaging</t>
  </si>
  <si>
    <t>Cost per package</t>
  </si>
  <si>
    <t>Number of packages required</t>
  </si>
  <si>
    <t>Total cost of packing</t>
  </si>
  <si>
    <t>Freight</t>
  </si>
  <si>
    <t>Cost per kilogram to freight to market</t>
  </si>
  <si>
    <t>Total freight cost</t>
  </si>
  <si>
    <t>Phase 1</t>
  </si>
  <si>
    <t>Phase 2</t>
  </si>
  <si>
    <t>Phase 3</t>
  </si>
  <si>
    <t>Phase 4</t>
  </si>
  <si>
    <t>Phase 5</t>
  </si>
  <si>
    <t>Grams per Day</t>
  </si>
  <si>
    <t>Days</t>
  </si>
  <si>
    <t>Average</t>
  </si>
  <si>
    <t>% of Cycle</t>
  </si>
  <si>
    <t>Number of sandfish produced each season</t>
  </si>
  <si>
    <t>Process/Pack</t>
  </si>
  <si>
    <t>Processing/drying equipment</t>
  </si>
  <si>
    <t>Risk Analysis</t>
  </si>
  <si>
    <t>Probability</t>
  </si>
  <si>
    <t>Minimum</t>
  </si>
  <si>
    <t>Poor</t>
  </si>
  <si>
    <t>chance of getting between</t>
  </si>
  <si>
    <t xml:space="preserve">and </t>
  </si>
  <si>
    <t>Good</t>
  </si>
  <si>
    <t>Maximum</t>
  </si>
  <si>
    <t>Price</t>
  </si>
  <si>
    <t>Price ($/kg)</t>
  </si>
  <si>
    <t>per kg</t>
  </si>
  <si>
    <t>Results of Risk Analysis</t>
  </si>
  <si>
    <t>(Press F9 to re-calculate)</t>
  </si>
  <si>
    <t>Lowest return</t>
  </si>
  <si>
    <t>Highest Return</t>
  </si>
  <si>
    <t>Average Return</t>
  </si>
  <si>
    <t>Years</t>
  </si>
  <si>
    <t>Production Risk</t>
  </si>
  <si>
    <t>Yield</t>
  </si>
  <si>
    <t>Min</t>
  </si>
  <si>
    <t>Likely</t>
  </si>
  <si>
    <t>Random</t>
  </si>
  <si>
    <t>F1</t>
  </si>
  <si>
    <t>F2</t>
  </si>
  <si>
    <t>A</t>
  </si>
  <si>
    <t>B</t>
  </si>
  <si>
    <t>C</t>
  </si>
  <si>
    <t>D</t>
  </si>
  <si>
    <t>F</t>
  </si>
  <si>
    <t>Sampled Result</t>
  </si>
  <si>
    <t>NPV</t>
  </si>
  <si>
    <t>Annuity</t>
  </si>
  <si>
    <t>Price Risk</t>
  </si>
  <si>
    <t>Simulation</t>
  </si>
  <si>
    <t>Output</t>
  </si>
  <si>
    <t>Basic Statistics</t>
  </si>
  <si>
    <t>Highest</t>
  </si>
  <si>
    <t>Lowest</t>
  </si>
  <si>
    <t>Results</t>
  </si>
  <si>
    <t>Percentiles</t>
  </si>
  <si>
    <t>kg</t>
  </si>
  <si>
    <t>Pond Description and Output</t>
  </si>
  <si>
    <t>Pond Dimensions and Capacity</t>
  </si>
  <si>
    <t>Cost per juvenile</t>
  </si>
  <si>
    <t>per pc</t>
  </si>
  <si>
    <t>Production Summary</t>
  </si>
  <si>
    <t>Weight of sandfish per package</t>
  </si>
  <si>
    <t>Juveniles</t>
  </si>
  <si>
    <t>Juvenile cost per cycle</t>
  </si>
  <si>
    <t>Quantity of sandfish produced on farm per cycle</t>
  </si>
  <si>
    <t>Are the sandfish sold wet?</t>
  </si>
  <si>
    <t>yes</t>
  </si>
  <si>
    <t>no</t>
  </si>
  <si>
    <t>Motorbikes</t>
  </si>
  <si>
    <t>Sheds</t>
  </si>
  <si>
    <t>Dried Product</t>
  </si>
  <si>
    <t>Wet Product</t>
  </si>
  <si>
    <t>Total revenue per farm cycle</t>
  </si>
  <si>
    <t>Grading - Dried Sandfish</t>
  </si>
  <si>
    <t>Processing - Wet Sandfish</t>
  </si>
  <si>
    <t>Grading - Wet</t>
  </si>
  <si>
    <t>Drying Labour</t>
  </si>
  <si>
    <t>Labour hours required per wet tonne dried</t>
  </si>
  <si>
    <t>hours</t>
  </si>
  <si>
    <t>Drying labour cost</t>
  </si>
  <si>
    <t>Total labour hours required</t>
  </si>
  <si>
    <t>Permanent staff (skilled)</t>
  </si>
  <si>
    <t>Permanent staff (labourer)</t>
  </si>
  <si>
    <t>Wage rate per hour</t>
  </si>
  <si>
    <t>Average hours worked per staff member</t>
  </si>
  <si>
    <t>Casual farm labour (excludes processing)</t>
  </si>
  <si>
    <t>Average weight of sandfish</t>
  </si>
  <si>
    <t xml:space="preserve">  sandfish harvested</t>
  </si>
  <si>
    <t>Lower Range</t>
  </si>
  <si>
    <t>Upper Range</t>
  </si>
  <si>
    <t xml:space="preserve"> - </t>
  </si>
  <si>
    <t xml:space="preserve">Grade C </t>
  </si>
  <si>
    <t>Crop Grade</t>
  </si>
  <si>
    <t>Dried Sandfish per Kilogram</t>
  </si>
  <si>
    <t>Wet Sandfish per Kilogram</t>
  </si>
  <si>
    <t>Average weight per sandfish after drying</t>
  </si>
  <si>
    <t>Average number of wet sandfish per kilogram</t>
  </si>
  <si>
    <t>Average number of dried sandfish per kilogram</t>
  </si>
  <si>
    <t>Revenue per kilogram</t>
  </si>
  <si>
    <t>Kilograms</t>
  </si>
  <si>
    <t>Cumulative Weight Gain (g)</t>
  </si>
  <si>
    <t>Average weight gain per day</t>
  </si>
  <si>
    <t>Mean weight of stocked juvenile sandfish</t>
  </si>
  <si>
    <t>Total Cost for Processing Wet Sandfish</t>
  </si>
  <si>
    <t>Total Cost for Processing Dried Sandfish</t>
  </si>
  <si>
    <t>Salt (drying or medicinal)</t>
  </si>
  <si>
    <t>Fuel, Oil, Reapir &amp; Maintenance</t>
  </si>
  <si>
    <t>Pond Usage</t>
  </si>
  <si>
    <t>Number of ponds for nursery use</t>
  </si>
  <si>
    <t>Number of ponds for dedicated production</t>
  </si>
  <si>
    <t>Total ponded area of farm</t>
  </si>
  <si>
    <t>Pond Outputs - Production</t>
  </si>
  <si>
    <t>Nursery Targets</t>
  </si>
  <si>
    <t>Expected susrvial rate of sandfish during nursery phase</t>
  </si>
  <si>
    <t>Nursery Stocking Densities</t>
  </si>
  <si>
    <t>Nursery Capacity</t>
  </si>
  <si>
    <t>(final harvest numbers)</t>
  </si>
  <si>
    <t>Size of nursery pond</t>
  </si>
  <si>
    <t>Number of juveniles per hapas</t>
  </si>
  <si>
    <t>Surface area of hapas</t>
  </si>
  <si>
    <t>Length of hapas</t>
  </si>
  <si>
    <t>Width of hapas</t>
  </si>
  <si>
    <t>Number of hapas required for nursery</t>
  </si>
  <si>
    <t>Number of sandfish required from hatchery</t>
  </si>
  <si>
    <t>Total hapas surface area</t>
  </si>
  <si>
    <t>Average weight of juvenile moving from nursery into production ponds</t>
  </si>
  <si>
    <t>Key Parameters</t>
  </si>
  <si>
    <t>Is a nursery phase to be included in this production system?</t>
  </si>
  <si>
    <t>Psuedo Growth Curve (following hatchery or nursery phase - adjust growth rates as required)</t>
  </si>
  <si>
    <t>Size of ponds</t>
  </si>
  <si>
    <t>hectare(s)</t>
  </si>
  <si>
    <t>Pond length / width</t>
  </si>
  <si>
    <t>Juvenile Purchase and Nursery Phase</t>
  </si>
  <si>
    <t>Juvenile Requirements and Purchase</t>
  </si>
  <si>
    <t>Size of purchased juveniles</t>
  </si>
  <si>
    <t>Size of juveniles purchased from the hatchery</t>
  </si>
  <si>
    <t>Total number of ponds (including nursery if applicable)</t>
  </si>
  <si>
    <t>Number of juveniles required - nursery phase included</t>
  </si>
  <si>
    <t>Number of juveniles required - no nursery phase</t>
  </si>
  <si>
    <t>Expected survival of sandfish over production cycle</t>
  </si>
  <si>
    <t>Prices</t>
  </si>
  <si>
    <t>Wet</t>
  </si>
  <si>
    <t>Dried</t>
  </si>
  <si>
    <t xml:space="preserve">Grade A  </t>
  </si>
  <si>
    <t xml:space="preserve">Grade B  </t>
  </si>
  <si>
    <t xml:space="preserve">Grade C  </t>
  </si>
  <si>
    <t>Nursery</t>
  </si>
  <si>
    <t>Nursery hapas</t>
  </si>
  <si>
    <t>Hapas stakes (2 per hapas with support rope)</t>
  </si>
  <si>
    <t>Processing - Dried Sandfish (Trepang)</t>
  </si>
  <si>
    <t>Gutting</t>
  </si>
  <si>
    <t>Salting</t>
  </si>
  <si>
    <t>Boiling</t>
  </si>
  <si>
    <t>Washing</t>
  </si>
  <si>
    <t>Drying</t>
  </si>
  <si>
    <t>Addition costs per wet tonne dried</t>
  </si>
  <si>
    <t>Salt</t>
  </si>
  <si>
    <t>Gas</t>
  </si>
  <si>
    <t>Fuel for cooking</t>
  </si>
  <si>
    <t>Scenarios</t>
  </si>
  <si>
    <t xml:space="preserve">Current </t>
  </si>
  <si>
    <t>Scenario 1</t>
  </si>
  <si>
    <t>Scenario 2</t>
  </si>
  <si>
    <t>Scenario 3</t>
  </si>
  <si>
    <t>Scenario 4</t>
  </si>
  <si>
    <t>Length of nursery phase</t>
  </si>
  <si>
    <t>per hour</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</si>
</sst>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409]* #,##0.00_ ;_-[$$-409]* \-#,##0.00\ ;_-[$$-409]* &quot;-&quot;??_ ;_-@_ "/>
    <numFmt numFmtId="184" formatCode="[$$-409]#,##0.00"/>
    <numFmt numFmtId="185" formatCode="[$$-409]#,##0.00;[Red][$$-409]#,##0.00"/>
    <numFmt numFmtId="186" formatCode="0.0%"/>
    <numFmt numFmtId="187" formatCode="&quot;$&quot;#,##0"/>
    <numFmt numFmtId="188" formatCode="&quot;$&quot;#,##0.0"/>
    <numFmt numFmtId="189" formatCode="&quot;$&quot;#,##0.00"/>
    <numFmt numFmtId="190" formatCode="0.000"/>
    <numFmt numFmtId="191" formatCode="mmmm\-yy"/>
    <numFmt numFmtId="192" formatCode="0.0000000"/>
    <numFmt numFmtId="193" formatCode="0.000000"/>
    <numFmt numFmtId="194" formatCode="0.00000"/>
    <numFmt numFmtId="195" formatCode="0.0000"/>
    <numFmt numFmtId="196" formatCode="&quot;$&quot;#,##0;[Red]&quot;$&quot;#,##0"/>
    <numFmt numFmtId="197" formatCode="#,##0_ ;\-#,##0\ "/>
    <numFmt numFmtId="198" formatCode="#,##0_ ;[Red]\-#,##0\ "/>
    <numFmt numFmtId="199" formatCode="#,##0;[Red]#,##0"/>
    <numFmt numFmtId="200" formatCode="&quot;$&quot;#,##0.000"/>
    <numFmt numFmtId="201" formatCode="0.000%"/>
    <numFmt numFmtId="202" formatCode="0.0000%"/>
    <numFmt numFmtId="203" formatCode="&quot;$&quot;#,##0.0;\-&quot;$&quot;#,##0.0"/>
    <numFmt numFmtId="204" formatCode="&quot;$&quot;#,##0.0;[Red]\-&quot;$&quot;#,##0.0"/>
    <numFmt numFmtId="205" formatCode="0.00000000"/>
    <numFmt numFmtId="206" formatCode="0.000000000"/>
    <numFmt numFmtId="207" formatCode="&quot;$&quot;#,##0.0000"/>
    <numFmt numFmtId="208" formatCode="&quot;$&quot;#,##0.00000"/>
    <numFmt numFmtId="209" formatCode="&quot;Yes&quot;;&quot;Yes&quot;;&quot;No&quot;"/>
    <numFmt numFmtId="210" formatCode="&quot;True&quot;;&quot;True&quot;;&quot;False&quot;"/>
    <numFmt numFmtId="211" formatCode="&quot;On&quot;;&quot;On&quot;;&quot;Off&quot;"/>
    <numFmt numFmtId="212" formatCode="[$€-2]\ #,##0.00_);[Red]\([$€-2]\ #,##0.00\)"/>
    <numFmt numFmtId="213" formatCode="#,##0.00_ ;\-#,##0.00\ "/>
    <numFmt numFmtId="214" formatCode="[$VND]\ #,##0.00"/>
    <numFmt numFmtId="215" formatCode="[$VND]\ #,##0.000"/>
    <numFmt numFmtId="216" formatCode="[$VND]\ #,##0.0"/>
    <numFmt numFmtId="217" formatCode="[$VND]\ #,##0"/>
    <numFmt numFmtId="218" formatCode="[$VND]\ #,##0.00;[Red]\-[$VND]\ #,##0.00"/>
    <numFmt numFmtId="219" formatCode="\$#,##0"/>
    <numFmt numFmtId="220" formatCode="[$USD]\ #,##0"/>
    <numFmt numFmtId="221" formatCode="[$USD]\ #,##0.0"/>
    <numFmt numFmtId="222" formatCode="[$USD]\ #,##0.00"/>
    <numFmt numFmtId="223" formatCode="[$VND]\ #,##0;[Red]\-[$VND]\ #,##0"/>
  </numFmts>
  <fonts count="69">
    <font>
      <sz val="10"/>
      <name val="Arial"/>
      <family val="0"/>
    </font>
    <font>
      <b/>
      <sz val="12"/>
      <name val="Arial"/>
      <family val="2"/>
    </font>
    <font>
      <b/>
      <sz val="20"/>
      <name val="Arial"/>
      <family val="2"/>
    </font>
    <font>
      <sz val="8"/>
      <name val="Arial"/>
      <family val="0"/>
    </font>
    <font>
      <b/>
      <i/>
      <sz val="14"/>
      <name val="Arial"/>
      <family val="2"/>
    </font>
    <font>
      <b/>
      <sz val="12"/>
      <color indexed="9"/>
      <name val="Arial"/>
      <family val="2"/>
    </font>
    <font>
      <u val="single"/>
      <sz val="10"/>
      <color indexed="12"/>
      <name val="Arial"/>
      <family val="0"/>
    </font>
    <font>
      <u val="single"/>
      <sz val="10"/>
      <color indexed="36"/>
      <name val="Arial"/>
      <family val="0"/>
    </font>
    <font>
      <b/>
      <u val="single"/>
      <sz val="12"/>
      <name val="Arial"/>
      <family val="2"/>
    </font>
    <font>
      <sz val="12"/>
      <name val="Arial"/>
      <family val="2"/>
    </font>
    <font>
      <u val="single"/>
      <sz val="14"/>
      <name val="Arial"/>
      <family val="2"/>
    </font>
    <font>
      <b/>
      <i/>
      <sz val="12"/>
      <name val="Arial"/>
      <family val="2"/>
    </font>
    <font>
      <b/>
      <sz val="12"/>
      <color indexed="8"/>
      <name val="Arial"/>
      <family val="2"/>
    </font>
    <font>
      <b/>
      <i/>
      <sz val="12"/>
      <color indexed="9"/>
      <name val="Arial"/>
      <family val="2"/>
    </font>
    <font>
      <sz val="12"/>
      <color indexed="9"/>
      <name val="Arial"/>
      <family val="2"/>
    </font>
    <font>
      <i/>
      <sz val="12"/>
      <color indexed="9"/>
      <name val="Arial"/>
      <family val="2"/>
    </font>
    <font>
      <b/>
      <sz val="12"/>
      <color indexed="63"/>
      <name val="Arial"/>
      <family val="2"/>
    </font>
    <font>
      <b/>
      <sz val="12"/>
      <color indexed="52"/>
      <name val="Arial"/>
      <family val="2"/>
    </font>
    <font>
      <b/>
      <sz val="12"/>
      <color indexed="10"/>
      <name val="Arial"/>
      <family val="2"/>
    </font>
    <font>
      <b/>
      <sz val="14"/>
      <color indexed="53"/>
      <name val="Arial"/>
      <family val="2"/>
    </font>
    <font>
      <sz val="10"/>
      <color indexed="9"/>
      <name val="Arial"/>
      <family val="2"/>
    </font>
    <font>
      <b/>
      <sz val="10"/>
      <color indexed="9"/>
      <name val="Arial"/>
      <family val="2"/>
    </font>
    <font>
      <b/>
      <u val="single"/>
      <sz val="14"/>
      <name val="Arial"/>
      <family val="2"/>
    </font>
    <font>
      <sz val="10"/>
      <color indexed="8"/>
      <name val="Arial"/>
      <family val="0"/>
    </font>
    <font>
      <sz val="11"/>
      <color indexed="8"/>
      <name val="Arial"/>
      <family val="0"/>
    </font>
    <font>
      <sz val="8"/>
      <color indexed="8"/>
      <name val="Arial"/>
      <family val="0"/>
    </font>
    <font>
      <sz val="9.75"/>
      <color indexed="8"/>
      <name val="Arial"/>
      <family val="0"/>
    </font>
    <font>
      <sz val="8.25"/>
      <color indexed="8"/>
      <name val="Arial"/>
      <family val="0"/>
    </font>
    <font>
      <sz val="9.25"/>
      <color indexed="8"/>
      <name val="Arial"/>
      <family val="0"/>
    </font>
    <font>
      <sz val="14.5"/>
      <color indexed="8"/>
      <name val="Arial"/>
      <family val="0"/>
    </font>
    <font>
      <b/>
      <sz val="9.75"/>
      <color indexed="8"/>
      <name val="Arial"/>
      <family val="0"/>
    </font>
    <font>
      <sz val="16"/>
      <color indexed="8"/>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Arial Black"/>
      <family val="0"/>
    </font>
    <font>
      <b/>
      <sz val="11.75"/>
      <color indexed="8"/>
      <name val="Arial"/>
      <family val="0"/>
    </font>
    <font>
      <sz val="12"/>
      <color indexed="8"/>
      <name val="Arial"/>
      <family val="0"/>
    </font>
    <font>
      <b/>
      <sz val="11.25"/>
      <color indexed="8"/>
      <name val="Arial"/>
      <family val="0"/>
    </font>
    <font>
      <b/>
      <sz val="14"/>
      <color indexed="8"/>
      <name val="Arial"/>
      <family val="0"/>
    </font>
    <font>
      <sz val="14"/>
      <color indexed="8"/>
      <name val="Arial"/>
      <family val="0"/>
    </font>
    <font>
      <sz val="12"/>
      <color indexed="8"/>
      <name val="Times New Roman"/>
      <family val="0"/>
    </font>
    <font>
      <b/>
      <sz val="11"/>
      <color indexed="8"/>
      <name val="Arial"/>
      <family val="0"/>
    </font>
    <font>
      <b/>
      <sz val="18"/>
      <color indexed="16"/>
      <name val="Arial"/>
      <family val="0"/>
    </font>
    <font>
      <sz val="18"/>
      <color indexed="12"/>
      <name val="Arial"/>
      <family val="0"/>
    </font>
    <font>
      <sz val="12"/>
      <color indexed="52"/>
      <name val="Arial"/>
      <family val="2"/>
    </font>
    <font>
      <sz val="11"/>
      <name val="Arial"/>
      <family val="2"/>
    </font>
    <font>
      <b/>
      <u val="single"/>
      <sz val="11"/>
      <name val="Arial"/>
      <family val="2"/>
    </font>
    <font>
      <b/>
      <sz val="10"/>
      <name val="Arial"/>
      <family val="2"/>
    </font>
    <font>
      <b/>
      <sz val="14"/>
      <name val="Arial"/>
      <family val="2"/>
    </font>
    <font>
      <b/>
      <sz val="14.5"/>
      <color indexed="8"/>
      <name val="Arial"/>
      <family val="0"/>
    </font>
    <font>
      <b/>
      <sz val="11"/>
      <name val="Arial"/>
      <family val="2"/>
    </font>
    <font>
      <u val="single"/>
      <sz val="1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18"/>
        <bgColor indexed="64"/>
      </patternFill>
    </fill>
    <fill>
      <patternFill patternType="solid">
        <fgColor indexed="60"/>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color indexed="63"/>
      </top>
      <bottom style="thin"/>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1" fillId="24" borderId="10" xfId="0" applyFont="1" applyFill="1" applyBorder="1" applyAlignment="1" applyProtection="1">
      <alignment horizontal="center"/>
      <protection locked="0"/>
    </xf>
    <xf numFmtId="3" fontId="1" fillId="24" borderId="10" xfId="0" applyNumberFormat="1" applyFont="1" applyFill="1" applyBorder="1" applyAlignment="1" applyProtection="1">
      <alignment horizontal="center"/>
      <protection locked="0"/>
    </xf>
    <xf numFmtId="9" fontId="1" fillId="24" borderId="10" xfId="0" applyNumberFormat="1" applyFont="1" applyFill="1" applyBorder="1" applyAlignment="1" applyProtection="1">
      <alignment horizontal="center"/>
      <protection locked="0"/>
    </xf>
    <xf numFmtId="2" fontId="1" fillId="24" borderId="10" xfId="0" applyNumberFormat="1" applyFont="1" applyFill="1" applyBorder="1" applyAlignment="1" applyProtection="1">
      <alignment horizontal="center"/>
      <protection locked="0"/>
    </xf>
    <xf numFmtId="10" fontId="1" fillId="24" borderId="10" xfId="0" applyNumberFormat="1" applyFont="1" applyFill="1" applyBorder="1" applyAlignment="1" applyProtection="1">
      <alignment horizontal="center"/>
      <protection locked="0"/>
    </xf>
    <xf numFmtId="3" fontId="5" fillId="0" borderId="0" xfId="0" applyNumberFormat="1" applyFont="1" applyFill="1" applyBorder="1" applyAlignment="1">
      <alignment horizontal="center"/>
    </xf>
    <xf numFmtId="0" fontId="1" fillId="0" borderId="0" xfId="0" applyFont="1" applyAlignment="1">
      <alignment horizontal="center"/>
    </xf>
    <xf numFmtId="4" fontId="1" fillId="24" borderId="10" xfId="0" applyNumberFormat="1" applyFont="1" applyFill="1" applyBorder="1" applyAlignment="1" applyProtection="1">
      <alignment horizontal="center"/>
      <protection locked="0"/>
    </xf>
    <xf numFmtId="0" fontId="5" fillId="0" borderId="0" xfId="0" applyFont="1" applyFill="1" applyBorder="1" applyAlignment="1">
      <alignment horizontal="center"/>
    </xf>
    <xf numFmtId="0" fontId="1" fillId="0" borderId="0" xfId="0" applyFont="1" applyFill="1" applyBorder="1" applyAlignment="1">
      <alignment horizontal="center"/>
    </xf>
    <xf numFmtId="0" fontId="5" fillId="25" borderId="11" xfId="0" applyFont="1" applyFill="1" applyBorder="1" applyAlignment="1">
      <alignment horizontal="center"/>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15" borderId="11"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5" fillId="25" borderId="17" xfId="0" applyFont="1" applyFill="1" applyBorder="1" applyAlignment="1">
      <alignment horizontal="center"/>
    </xf>
    <xf numFmtId="172" fontId="5" fillId="25" borderId="18" xfId="0" applyNumberFormat="1" applyFont="1" applyFill="1" applyBorder="1" applyAlignment="1">
      <alignment horizontal="center"/>
    </xf>
    <xf numFmtId="172" fontId="5" fillId="25" borderId="19" xfId="0" applyNumberFormat="1" applyFont="1" applyFill="1" applyBorder="1" applyAlignment="1">
      <alignment horizontal="center"/>
    </xf>
    <xf numFmtId="0" fontId="5" fillId="19" borderId="20" xfId="0" applyFont="1" applyFill="1" applyBorder="1" applyAlignment="1">
      <alignment horizontal="center"/>
    </xf>
    <xf numFmtId="0" fontId="5" fillId="19" borderId="21" xfId="0" applyFont="1" applyFill="1" applyBorder="1" applyAlignment="1">
      <alignment horizontal="center"/>
    </xf>
    <xf numFmtId="0" fontId="5" fillId="19" borderId="22" xfId="0" applyFont="1" applyFill="1" applyBorder="1" applyAlignment="1">
      <alignment horizontal="center"/>
    </xf>
    <xf numFmtId="0" fontId="1" fillId="0" borderId="23" xfId="0"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1" fillId="0" borderId="26" xfId="0" applyNumberFormat="1" applyFont="1" applyBorder="1" applyAlignment="1">
      <alignment horizontal="center"/>
    </xf>
    <xf numFmtId="3" fontId="1" fillId="11" borderId="21" xfId="0" applyNumberFormat="1" applyFont="1" applyFill="1" applyBorder="1" applyAlignment="1">
      <alignment horizontal="center"/>
    </xf>
    <xf numFmtId="0" fontId="5" fillId="19" borderId="27" xfId="0" applyFont="1" applyFill="1" applyBorder="1" applyAlignment="1">
      <alignment horizontal="center"/>
    </xf>
    <xf numFmtId="0" fontId="5" fillId="19" borderId="28" xfId="0" applyFont="1" applyFill="1" applyBorder="1" applyAlignment="1">
      <alignment horizontal="center"/>
    </xf>
    <xf numFmtId="0" fontId="5" fillId="19" borderId="29" xfId="0" applyFont="1" applyFill="1" applyBorder="1" applyAlignment="1">
      <alignment horizontal="center"/>
    </xf>
    <xf numFmtId="0" fontId="1" fillId="0" borderId="30" xfId="0" applyFont="1" applyBorder="1" applyAlignment="1">
      <alignment horizontal="center"/>
    </xf>
    <xf numFmtId="3" fontId="1" fillId="0" borderId="31" xfId="0" applyNumberFormat="1" applyFont="1" applyBorder="1" applyAlignment="1">
      <alignment horizontal="center"/>
    </xf>
    <xf numFmtId="3" fontId="1" fillId="0" borderId="10" xfId="0" applyNumberFormat="1" applyFont="1" applyBorder="1" applyAlignment="1">
      <alignment horizontal="center"/>
    </xf>
    <xf numFmtId="3" fontId="1" fillId="0" borderId="32" xfId="0" applyNumberFormat="1" applyFont="1" applyBorder="1" applyAlignment="1">
      <alignment horizontal="center"/>
    </xf>
    <xf numFmtId="0" fontId="5" fillId="19" borderId="33" xfId="0" applyFont="1" applyFill="1" applyBorder="1" applyAlignment="1">
      <alignment horizontal="center"/>
    </xf>
    <xf numFmtId="0" fontId="5" fillId="19" borderId="34" xfId="0" applyFont="1" applyFill="1" applyBorder="1" applyAlignment="1">
      <alignment horizontal="center"/>
    </xf>
    <xf numFmtId="0" fontId="5" fillId="19" borderId="35" xfId="0" applyFont="1" applyFill="1" applyBorder="1" applyAlignment="1">
      <alignment horizontal="center"/>
    </xf>
    <xf numFmtId="0" fontId="1" fillId="0" borderId="36" xfId="0"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0" fontId="1" fillId="0" borderId="0" xfId="0" applyFont="1" applyFill="1" applyAlignment="1">
      <alignment/>
    </xf>
    <xf numFmtId="0" fontId="9" fillId="0" borderId="0" xfId="0" applyFont="1" applyAlignment="1">
      <alignment/>
    </xf>
    <xf numFmtId="1" fontId="1" fillId="24" borderId="10" xfId="0" applyNumberFormat="1"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lignment/>
    </xf>
    <xf numFmtId="0" fontId="1" fillId="0" borderId="0" xfId="0" applyFont="1" applyFill="1" applyAlignment="1" applyProtection="1">
      <alignment/>
      <protection hidden="1"/>
    </xf>
    <xf numFmtId="3" fontId="1" fillId="0" borderId="0" xfId="0" applyNumberFormat="1" applyFont="1" applyFill="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40"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187" fontId="9" fillId="0" borderId="28" xfId="0" applyNumberFormat="1" applyFont="1" applyFill="1" applyBorder="1" applyAlignment="1" applyProtection="1">
      <alignment horizontal="center"/>
      <protection hidden="1"/>
    </xf>
    <xf numFmtId="187" fontId="9" fillId="0" borderId="27" xfId="0" applyNumberFormat="1" applyFont="1" applyFill="1" applyBorder="1" applyAlignment="1" applyProtection="1">
      <alignment horizontal="center"/>
      <protection hidden="1"/>
    </xf>
    <xf numFmtId="187" fontId="9" fillId="0" borderId="21" xfId="0" applyNumberFormat="1" applyFont="1" applyFill="1" applyBorder="1" applyAlignment="1" applyProtection="1">
      <alignment horizontal="center"/>
      <protection hidden="1"/>
    </xf>
    <xf numFmtId="187" fontId="1" fillId="0" borderId="28" xfId="0" applyNumberFormat="1" applyFont="1" applyFill="1" applyBorder="1" applyAlignment="1" applyProtection="1">
      <alignment horizontal="center"/>
      <protection hidden="1"/>
    </xf>
    <xf numFmtId="3" fontId="9" fillId="0" borderId="28" xfId="0" applyNumberFormat="1" applyFont="1" applyFill="1" applyBorder="1" applyAlignment="1" applyProtection="1">
      <alignment horizontal="center"/>
      <protection hidden="1"/>
    </xf>
    <xf numFmtId="187" fontId="9" fillId="0" borderId="34" xfId="0" applyNumberFormat="1" applyFont="1" applyFill="1" applyBorder="1" applyAlignment="1" applyProtection="1">
      <alignment horizontal="center"/>
      <protection hidden="1"/>
    </xf>
    <xf numFmtId="187" fontId="1" fillId="0" borderId="34" xfId="0" applyNumberFormat="1" applyFont="1" applyFill="1" applyBorder="1" applyAlignment="1" applyProtection="1">
      <alignment horizontal="center"/>
      <protection hidden="1"/>
    </xf>
    <xf numFmtId="197" fontId="1" fillId="0" borderId="15" xfId="0" applyNumberFormat="1" applyFont="1" applyFill="1" applyBorder="1" applyAlignment="1" applyProtection="1">
      <alignment horizontal="center"/>
      <protection hidden="1"/>
    </xf>
    <xf numFmtId="5" fontId="1" fillId="0" borderId="15" xfId="0" applyNumberFormat="1" applyFont="1" applyFill="1" applyBorder="1" applyAlignment="1" applyProtection="1">
      <alignment horizontal="center"/>
      <protection hidden="1"/>
    </xf>
    <xf numFmtId="5" fontId="1" fillId="0" borderId="41" xfId="0" applyNumberFormat="1" applyFont="1" applyFill="1" applyBorder="1" applyAlignment="1" applyProtection="1">
      <alignment horizontal="center"/>
      <protection hidden="1"/>
    </xf>
    <xf numFmtId="198" fontId="1" fillId="0" borderId="15" xfId="0" applyNumberFormat="1" applyFont="1" applyFill="1" applyBorder="1" applyAlignment="1" applyProtection="1">
      <alignment horizontal="center"/>
      <protection hidden="1"/>
    </xf>
    <xf numFmtId="6" fontId="1" fillId="0" borderId="15" xfId="0" applyNumberFormat="1" applyFont="1" applyFill="1" applyBorder="1" applyAlignment="1" applyProtection="1">
      <alignment horizontal="center"/>
      <protection hidden="1"/>
    </xf>
    <xf numFmtId="189" fontId="1" fillId="0" borderId="15" xfId="0" applyNumberFormat="1" applyFont="1" applyFill="1" applyBorder="1" applyAlignment="1" applyProtection="1">
      <alignment horizontal="center"/>
      <protection hidden="1"/>
    </xf>
    <xf numFmtId="5" fontId="1" fillId="0" borderId="0" xfId="0" applyNumberFormat="1" applyFont="1" applyFill="1" applyAlignment="1" applyProtection="1">
      <alignment horizontal="center"/>
      <protection hidden="1"/>
    </xf>
    <xf numFmtId="6" fontId="1" fillId="0" borderId="0" xfId="0" applyNumberFormat="1" applyFont="1" applyFill="1" applyAlignment="1" applyProtection="1">
      <alignment horizontal="center"/>
      <protection hidden="1"/>
    </xf>
    <xf numFmtId="5" fontId="9" fillId="0" borderId="0" xfId="0" applyNumberFormat="1" applyFont="1" applyFill="1" applyAlignment="1" applyProtection="1">
      <alignment/>
      <protection hidden="1"/>
    </xf>
    <xf numFmtId="10" fontId="1" fillId="0" borderId="0" xfId="0" applyNumberFormat="1" applyFont="1" applyFill="1" applyBorder="1" applyAlignment="1" applyProtection="1">
      <alignment horizontal="center"/>
      <protection hidden="1"/>
    </xf>
    <xf numFmtId="197" fontId="9" fillId="0" borderId="0" xfId="0" applyNumberFormat="1" applyFont="1" applyFill="1" applyBorder="1" applyAlignment="1" applyProtection="1">
      <alignment horizontal="center"/>
      <protection hidden="1"/>
    </xf>
    <xf numFmtId="6" fontId="9" fillId="0" borderId="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9" fillId="0" borderId="0" xfId="0" applyFont="1" applyAlignment="1" applyProtection="1">
      <alignment/>
      <protection/>
    </xf>
    <xf numFmtId="0" fontId="1" fillId="10" borderId="11" xfId="0" applyFont="1" applyFill="1" applyBorder="1" applyAlignment="1" applyProtection="1">
      <alignment horizontal="centerContinuous"/>
      <protection/>
    </xf>
    <xf numFmtId="0" fontId="1" fillId="10" borderId="16" xfId="0" applyFont="1" applyFill="1" applyBorder="1" applyAlignment="1" applyProtection="1">
      <alignment horizontal="centerContinuous"/>
      <protection/>
    </xf>
    <xf numFmtId="0" fontId="1" fillId="10" borderId="42" xfId="0" applyFont="1" applyFill="1" applyBorder="1" applyAlignment="1" applyProtection="1">
      <alignment horizontal="centerContinuous"/>
      <protection/>
    </xf>
    <xf numFmtId="0" fontId="1" fillId="11" borderId="23" xfId="0" applyFont="1" applyFill="1" applyBorder="1" applyAlignment="1" applyProtection="1">
      <alignment/>
      <protection/>
    </xf>
    <xf numFmtId="0" fontId="1" fillId="11" borderId="43" xfId="0" applyFont="1" applyFill="1" applyBorder="1" applyAlignment="1" applyProtection="1">
      <alignment/>
      <protection/>
    </xf>
    <xf numFmtId="0" fontId="1" fillId="11" borderId="44" xfId="0" applyFont="1" applyFill="1" applyBorder="1" applyAlignment="1" applyProtection="1">
      <alignment/>
      <protection/>
    </xf>
    <xf numFmtId="0" fontId="1" fillId="0" borderId="15" xfId="0" applyFont="1" applyBorder="1" applyAlignment="1" applyProtection="1">
      <alignment horizontal="center"/>
      <protection/>
    </xf>
    <xf numFmtId="0" fontId="1" fillId="10" borderId="12" xfId="0" applyFont="1" applyFill="1" applyBorder="1" applyAlignment="1" applyProtection="1">
      <alignment horizontal="center"/>
      <protection/>
    </xf>
    <xf numFmtId="0" fontId="1" fillId="10" borderId="13" xfId="0" applyFont="1" applyFill="1" applyBorder="1" applyAlignment="1" applyProtection="1">
      <alignment horizontal="center"/>
      <protection/>
    </xf>
    <xf numFmtId="0" fontId="1" fillId="10" borderId="14" xfId="0" applyFont="1" applyFill="1" applyBorder="1" applyAlignment="1" applyProtection="1">
      <alignment horizontal="center"/>
      <protection/>
    </xf>
    <xf numFmtId="0" fontId="1" fillId="11" borderId="12" xfId="0" applyFont="1" applyFill="1" applyBorder="1" applyAlignment="1" applyProtection="1">
      <alignment horizontal="center"/>
      <protection/>
    </xf>
    <xf numFmtId="0" fontId="1" fillId="11" borderId="13" xfId="0" applyFont="1" applyFill="1" applyBorder="1" applyAlignment="1" applyProtection="1">
      <alignment horizontal="center"/>
      <protection/>
    </xf>
    <xf numFmtId="0" fontId="1" fillId="11" borderId="14" xfId="0" applyFont="1" applyFill="1" applyBorder="1" applyAlignment="1" applyProtection="1">
      <alignment horizontal="center"/>
      <protection/>
    </xf>
    <xf numFmtId="0" fontId="1" fillId="0" borderId="42" xfId="0" applyFont="1" applyBorder="1" applyAlignment="1" applyProtection="1">
      <alignment horizontal="center"/>
      <protection/>
    </xf>
    <xf numFmtId="0" fontId="1" fillId="0" borderId="44"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40" xfId="0" applyFont="1" applyBorder="1" applyAlignment="1" applyProtection="1">
      <alignment/>
      <protection/>
    </xf>
    <xf numFmtId="0" fontId="9" fillId="8" borderId="20" xfId="0" applyFont="1" applyFill="1" applyBorder="1" applyAlignment="1" applyProtection="1">
      <alignment horizontal="center"/>
      <protection/>
    </xf>
    <xf numFmtId="3" fontId="14" fillId="17" borderId="24" xfId="0" applyNumberFormat="1" applyFont="1" applyFill="1" applyBorder="1" applyAlignment="1" applyProtection="1">
      <alignment horizontal="center"/>
      <protection/>
    </xf>
    <xf numFmtId="3" fontId="14" fillId="17" borderId="25" xfId="0" applyNumberFormat="1" applyFont="1" applyFill="1" applyBorder="1" applyAlignment="1" applyProtection="1">
      <alignment horizontal="center"/>
      <protection/>
    </xf>
    <xf numFmtId="3" fontId="14" fillId="17" borderId="45" xfId="0" applyNumberFormat="1" applyFont="1" applyFill="1" applyBorder="1" applyAlignment="1" applyProtection="1">
      <alignment horizontal="center"/>
      <protection/>
    </xf>
    <xf numFmtId="173" fontId="14" fillId="17" borderId="46" xfId="0" applyNumberFormat="1" applyFont="1" applyFill="1" applyBorder="1" applyAlignment="1" applyProtection="1">
      <alignment horizontal="center"/>
      <protection/>
    </xf>
    <xf numFmtId="173" fontId="14" fillId="17" borderId="25" xfId="0" applyNumberFormat="1" applyFont="1" applyFill="1" applyBorder="1" applyAlignment="1" applyProtection="1">
      <alignment horizontal="center"/>
      <protection/>
    </xf>
    <xf numFmtId="173" fontId="14" fillId="17" borderId="45" xfId="0" applyNumberFormat="1" applyFont="1" applyFill="1" applyBorder="1" applyAlignment="1" applyProtection="1">
      <alignment horizontal="center"/>
      <protection/>
    </xf>
    <xf numFmtId="195" fontId="1" fillId="26" borderId="47" xfId="0" applyNumberFormat="1" applyFont="1" applyFill="1" applyBorder="1" applyAlignment="1" applyProtection="1">
      <alignment horizontal="center"/>
      <protection/>
    </xf>
    <xf numFmtId="195" fontId="1" fillId="26" borderId="21" xfId="0" applyNumberFormat="1" applyFont="1" applyFill="1" applyBorder="1" applyAlignment="1" applyProtection="1">
      <alignment horizontal="center"/>
      <protection/>
    </xf>
    <xf numFmtId="0" fontId="1" fillId="26" borderId="20" xfId="0" applyFont="1" applyFill="1" applyBorder="1" applyAlignment="1" applyProtection="1">
      <alignment horizontal="center"/>
      <protection/>
    </xf>
    <xf numFmtId="3" fontId="1" fillId="26" borderId="48" xfId="0" applyNumberFormat="1" applyFont="1" applyFill="1" applyBorder="1" applyAlignment="1" applyProtection="1">
      <alignment horizontal="center"/>
      <protection/>
    </xf>
    <xf numFmtId="3" fontId="1" fillId="26" borderId="21" xfId="0" applyNumberFormat="1" applyFont="1" applyFill="1" applyBorder="1" applyAlignment="1" applyProtection="1">
      <alignment horizontal="center"/>
      <protection/>
    </xf>
    <xf numFmtId="3" fontId="5" fillId="27" borderId="21" xfId="0" applyNumberFormat="1" applyFont="1" applyFill="1" applyBorder="1" applyAlignment="1" applyProtection="1">
      <alignment horizontal="center"/>
      <protection/>
    </xf>
    <xf numFmtId="0" fontId="9" fillId="8" borderId="27" xfId="0" applyFont="1" applyFill="1" applyBorder="1" applyAlignment="1" applyProtection="1">
      <alignment horizontal="center"/>
      <protection/>
    </xf>
    <xf numFmtId="3" fontId="14" fillId="17" borderId="31" xfId="0" applyNumberFormat="1" applyFont="1" applyFill="1" applyBorder="1" applyAlignment="1" applyProtection="1">
      <alignment horizontal="center"/>
      <protection/>
    </xf>
    <xf numFmtId="3" fontId="14" fillId="17" borderId="10" xfId="0" applyNumberFormat="1" applyFont="1" applyFill="1" applyBorder="1" applyAlignment="1" applyProtection="1">
      <alignment horizontal="center"/>
      <protection/>
    </xf>
    <xf numFmtId="3" fontId="14" fillId="17" borderId="49" xfId="0" applyNumberFormat="1" applyFont="1" applyFill="1" applyBorder="1" applyAlignment="1" applyProtection="1">
      <alignment horizontal="center"/>
      <protection/>
    </xf>
    <xf numFmtId="173" fontId="14" fillId="17" borderId="50" xfId="0" applyNumberFormat="1" applyFont="1" applyFill="1" applyBorder="1" applyAlignment="1" applyProtection="1">
      <alignment horizontal="center"/>
      <protection/>
    </xf>
    <xf numFmtId="173" fontId="14" fillId="17" borderId="10" xfId="0" applyNumberFormat="1" applyFont="1" applyFill="1" applyBorder="1" applyAlignment="1" applyProtection="1">
      <alignment horizontal="center"/>
      <protection/>
    </xf>
    <xf numFmtId="173" fontId="14" fillId="17" borderId="49" xfId="0" applyNumberFormat="1" applyFont="1" applyFill="1" applyBorder="1" applyAlignment="1" applyProtection="1">
      <alignment horizontal="center"/>
      <protection/>
    </xf>
    <xf numFmtId="195" fontId="1" fillId="26" borderId="51" xfId="0" applyNumberFormat="1" applyFont="1" applyFill="1" applyBorder="1" applyAlignment="1" applyProtection="1">
      <alignment horizontal="center"/>
      <protection/>
    </xf>
    <xf numFmtId="195" fontId="1" fillId="26" borderId="52" xfId="0" applyNumberFormat="1" applyFont="1" applyFill="1" applyBorder="1" applyAlignment="1" applyProtection="1">
      <alignment horizontal="center"/>
      <protection/>
    </xf>
    <xf numFmtId="3" fontId="1" fillId="26" borderId="27" xfId="0" applyNumberFormat="1" applyFont="1" applyFill="1" applyBorder="1" applyAlignment="1" applyProtection="1">
      <alignment horizontal="center"/>
      <protection/>
    </xf>
    <xf numFmtId="3" fontId="1" fillId="26" borderId="28" xfId="0" applyNumberFormat="1" applyFont="1" applyFill="1" applyBorder="1" applyAlignment="1" applyProtection="1">
      <alignment horizontal="center"/>
      <protection/>
    </xf>
    <xf numFmtId="3" fontId="1" fillId="26" borderId="52" xfId="0" applyNumberFormat="1" applyFont="1" applyFill="1" applyBorder="1" applyAlignment="1" applyProtection="1">
      <alignment horizontal="center"/>
      <protection/>
    </xf>
    <xf numFmtId="3" fontId="5" fillId="27" borderId="28" xfId="0" applyNumberFormat="1" applyFont="1" applyFill="1" applyBorder="1" applyAlignment="1" applyProtection="1">
      <alignment horizontal="center"/>
      <protection/>
    </xf>
    <xf numFmtId="0" fontId="9" fillId="8" borderId="33" xfId="0" applyFont="1" applyFill="1" applyBorder="1" applyAlignment="1" applyProtection="1">
      <alignment horizontal="center"/>
      <protection/>
    </xf>
    <xf numFmtId="3" fontId="14" fillId="17" borderId="37" xfId="0" applyNumberFormat="1" applyFont="1" applyFill="1" applyBorder="1" applyAlignment="1" applyProtection="1">
      <alignment horizontal="center"/>
      <protection/>
    </xf>
    <xf numFmtId="3" fontId="14" fillId="17" borderId="38" xfId="0" applyNumberFormat="1" applyFont="1" applyFill="1" applyBorder="1" applyAlignment="1" applyProtection="1">
      <alignment horizontal="center"/>
      <protection/>
    </xf>
    <xf numFmtId="3" fontId="14" fillId="17" borderId="53" xfId="0" applyNumberFormat="1" applyFont="1" applyFill="1" applyBorder="1" applyAlignment="1" applyProtection="1">
      <alignment horizontal="center"/>
      <protection/>
    </xf>
    <xf numFmtId="173" fontId="14" fillId="17" borderId="54" xfId="0" applyNumberFormat="1" applyFont="1" applyFill="1" applyBorder="1" applyAlignment="1" applyProtection="1">
      <alignment horizontal="center"/>
      <protection/>
    </xf>
    <xf numFmtId="173" fontId="14" fillId="17" borderId="38" xfId="0" applyNumberFormat="1" applyFont="1" applyFill="1" applyBorder="1" applyAlignment="1" applyProtection="1">
      <alignment horizontal="center"/>
      <protection/>
    </xf>
    <xf numFmtId="173" fontId="14" fillId="17" borderId="53" xfId="0" applyNumberFormat="1" applyFont="1" applyFill="1" applyBorder="1" applyAlignment="1" applyProtection="1">
      <alignment horizontal="center"/>
      <protection/>
    </xf>
    <xf numFmtId="195" fontId="1" fillId="26" borderId="55" xfId="0" applyNumberFormat="1" applyFont="1" applyFill="1" applyBorder="1" applyAlignment="1" applyProtection="1">
      <alignment horizontal="center"/>
      <protection/>
    </xf>
    <xf numFmtId="195" fontId="1" fillId="26" borderId="41" xfId="0" applyNumberFormat="1" applyFont="1" applyFill="1" applyBorder="1" applyAlignment="1" applyProtection="1">
      <alignment horizontal="center"/>
      <protection/>
    </xf>
    <xf numFmtId="0" fontId="1" fillId="26" borderId="17" xfId="0" applyFont="1" applyFill="1" applyBorder="1" applyAlignment="1" applyProtection="1">
      <alignment horizontal="center"/>
      <protection/>
    </xf>
    <xf numFmtId="3" fontId="1" fillId="26" borderId="33" xfId="0" applyNumberFormat="1" applyFont="1" applyFill="1" applyBorder="1" applyAlignment="1" applyProtection="1">
      <alignment horizontal="center"/>
      <protection/>
    </xf>
    <xf numFmtId="3" fontId="1" fillId="26" borderId="34" xfId="0" applyNumberFormat="1" applyFont="1" applyFill="1" applyBorder="1" applyAlignment="1" applyProtection="1">
      <alignment horizontal="center"/>
      <protection/>
    </xf>
    <xf numFmtId="3" fontId="1" fillId="26" borderId="41" xfId="0" applyNumberFormat="1" applyFont="1" applyFill="1" applyBorder="1" applyAlignment="1" applyProtection="1">
      <alignment horizontal="center"/>
      <protection/>
    </xf>
    <xf numFmtId="3" fontId="5" fillId="27" borderId="34" xfId="0" applyNumberFormat="1"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9" fillId="0" borderId="43" xfId="0" applyFont="1" applyFill="1" applyBorder="1" applyAlignment="1" applyProtection="1">
      <alignment/>
      <protection/>
    </xf>
    <xf numFmtId="3" fontId="1" fillId="0" borderId="44" xfId="0" applyNumberFormat="1"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9" fillId="0" borderId="16" xfId="0" applyFont="1" applyFill="1" applyBorder="1" applyAlignment="1" applyProtection="1">
      <alignment/>
      <protection/>
    </xf>
    <xf numFmtId="198" fontId="1" fillId="0" borderId="42" xfId="0" applyNumberFormat="1" applyFont="1" applyFill="1" applyBorder="1" applyAlignment="1" applyProtection="1">
      <alignment horizontal="center"/>
      <protection hidden="1"/>
    </xf>
    <xf numFmtId="0" fontId="1" fillId="10" borderId="11" xfId="0" applyFont="1" applyFill="1" applyBorder="1" applyAlignment="1">
      <alignment horizontal="centerContinuous"/>
    </xf>
    <xf numFmtId="0" fontId="1" fillId="10" borderId="16" xfId="0" applyFont="1" applyFill="1" applyBorder="1" applyAlignment="1">
      <alignment horizontal="centerContinuous"/>
    </xf>
    <xf numFmtId="0" fontId="1" fillId="10" borderId="42" xfId="0" applyFont="1" applyFill="1" applyBorder="1" applyAlignment="1">
      <alignment horizontal="centerContinuous"/>
    </xf>
    <xf numFmtId="0" fontId="1" fillId="11" borderId="23" xfId="0" applyFont="1" applyFill="1" applyBorder="1" applyAlignment="1">
      <alignment/>
    </xf>
    <xf numFmtId="0" fontId="1" fillId="11" borderId="43" xfId="0" applyFont="1" applyFill="1" applyBorder="1" applyAlignment="1">
      <alignment/>
    </xf>
    <xf numFmtId="0" fontId="1" fillId="11" borderId="44" xfId="0" applyFont="1" applyFill="1" applyBorder="1" applyAlignment="1">
      <alignment/>
    </xf>
    <xf numFmtId="0" fontId="1" fillId="0" borderId="15" xfId="0" applyFont="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0" fontId="1" fillId="0" borderId="40" xfId="0" applyFont="1" applyBorder="1" applyAlignment="1">
      <alignment/>
    </xf>
    <xf numFmtId="0" fontId="9" fillId="8" borderId="52" xfId="0" applyFont="1" applyFill="1" applyBorder="1" applyAlignment="1">
      <alignment horizontal="center"/>
    </xf>
    <xf numFmtId="189" fontId="14" fillId="17" borderId="24" xfId="0" applyNumberFormat="1" applyFont="1" applyFill="1" applyBorder="1" applyAlignment="1">
      <alignment horizontal="center"/>
    </xf>
    <xf numFmtId="189" fontId="14" fillId="17" borderId="25" xfId="0" applyNumberFormat="1" applyFont="1" applyFill="1" applyBorder="1" applyAlignment="1">
      <alignment horizontal="center"/>
    </xf>
    <xf numFmtId="189" fontId="14" fillId="17" borderId="45" xfId="0" applyNumberFormat="1" applyFont="1" applyFill="1" applyBorder="1" applyAlignment="1">
      <alignment horizontal="center"/>
    </xf>
    <xf numFmtId="173" fontId="14" fillId="17" borderId="24" xfId="0" applyNumberFormat="1" applyFont="1" applyFill="1" applyBorder="1" applyAlignment="1">
      <alignment horizontal="center"/>
    </xf>
    <xf numFmtId="173" fontId="14" fillId="17" borderId="25" xfId="0" applyNumberFormat="1" applyFont="1" applyFill="1" applyBorder="1" applyAlignment="1">
      <alignment horizontal="center"/>
    </xf>
    <xf numFmtId="173" fontId="14" fillId="17" borderId="45" xfId="0" applyNumberFormat="1" applyFont="1" applyFill="1" applyBorder="1" applyAlignment="1">
      <alignment horizontal="center"/>
    </xf>
    <xf numFmtId="195" fontId="1" fillId="26" borderId="47" xfId="0" applyNumberFormat="1" applyFont="1" applyFill="1" applyBorder="1" applyAlignment="1">
      <alignment horizontal="center"/>
    </xf>
    <xf numFmtId="195" fontId="1" fillId="26" borderId="21" xfId="0" applyNumberFormat="1" applyFont="1" applyFill="1" applyBorder="1" applyAlignment="1">
      <alignment horizontal="center"/>
    </xf>
    <xf numFmtId="0" fontId="1" fillId="26" borderId="20" xfId="0" applyFont="1" applyFill="1" applyBorder="1" applyAlignment="1">
      <alignment horizontal="center"/>
    </xf>
    <xf numFmtId="3" fontId="1" fillId="26" borderId="48" xfId="0" applyNumberFormat="1" applyFont="1" applyFill="1" applyBorder="1" applyAlignment="1">
      <alignment horizontal="center"/>
    </xf>
    <xf numFmtId="3" fontId="1" fillId="26" borderId="21" xfId="0" applyNumberFormat="1" applyFont="1" applyFill="1" applyBorder="1" applyAlignment="1">
      <alignment horizontal="center"/>
    </xf>
    <xf numFmtId="189" fontId="1" fillId="0" borderId="21" xfId="0" applyNumberFormat="1" applyFont="1" applyBorder="1" applyAlignment="1">
      <alignment horizontal="center"/>
    </xf>
    <xf numFmtId="0" fontId="9" fillId="8" borderId="28" xfId="0" applyFont="1" applyFill="1" applyBorder="1" applyAlignment="1">
      <alignment horizontal="center"/>
    </xf>
    <xf numFmtId="189" fontId="14" fillId="17" borderId="31" xfId="0" applyNumberFormat="1" applyFont="1" applyFill="1" applyBorder="1" applyAlignment="1">
      <alignment horizontal="center"/>
    </xf>
    <xf numFmtId="189" fontId="14" fillId="17" borderId="10" xfId="0" applyNumberFormat="1" applyFont="1" applyFill="1" applyBorder="1" applyAlignment="1">
      <alignment horizontal="center"/>
    </xf>
    <xf numFmtId="189" fontId="14" fillId="17" borderId="49" xfId="0" applyNumberFormat="1" applyFont="1" applyFill="1" applyBorder="1" applyAlignment="1">
      <alignment horizontal="center"/>
    </xf>
    <xf numFmtId="173" fontId="14" fillId="17" borderId="31" xfId="0" applyNumberFormat="1" applyFont="1" applyFill="1" applyBorder="1" applyAlignment="1">
      <alignment horizontal="center"/>
    </xf>
    <xf numFmtId="173" fontId="14" fillId="17" borderId="10" xfId="0" applyNumberFormat="1" applyFont="1" applyFill="1" applyBorder="1" applyAlignment="1">
      <alignment horizontal="center"/>
    </xf>
    <xf numFmtId="173" fontId="14" fillId="17" borderId="49" xfId="0" applyNumberFormat="1" applyFont="1" applyFill="1" applyBorder="1" applyAlignment="1">
      <alignment horizontal="center"/>
    </xf>
    <xf numFmtId="195" fontId="1" fillId="26" borderId="51" xfId="0" applyNumberFormat="1" applyFont="1" applyFill="1" applyBorder="1" applyAlignment="1">
      <alignment horizontal="center"/>
    </xf>
    <xf numFmtId="195" fontId="1" fillId="26" borderId="52" xfId="0" applyNumberFormat="1" applyFont="1" applyFill="1" applyBorder="1" applyAlignment="1">
      <alignment horizontal="center"/>
    </xf>
    <xf numFmtId="3" fontId="1" fillId="26" borderId="27" xfId="0" applyNumberFormat="1" applyFont="1" applyFill="1" applyBorder="1" applyAlignment="1">
      <alignment horizontal="center"/>
    </xf>
    <xf numFmtId="3" fontId="1" fillId="26" borderId="28" xfId="0" applyNumberFormat="1" applyFont="1" applyFill="1" applyBorder="1" applyAlignment="1">
      <alignment horizontal="center"/>
    </xf>
    <xf numFmtId="3" fontId="1" fillId="26" borderId="52" xfId="0" applyNumberFormat="1" applyFont="1" applyFill="1" applyBorder="1" applyAlignment="1">
      <alignment horizontal="center"/>
    </xf>
    <xf numFmtId="189" fontId="1" fillId="0" borderId="28" xfId="0" applyNumberFormat="1" applyFont="1" applyBorder="1" applyAlignment="1">
      <alignment horizontal="center"/>
    </xf>
    <xf numFmtId="0" fontId="9" fillId="8" borderId="34" xfId="0" applyFont="1" applyFill="1" applyBorder="1" applyAlignment="1">
      <alignment horizontal="center"/>
    </xf>
    <xf numFmtId="189" fontId="14" fillId="17" borderId="37" xfId="0" applyNumberFormat="1" applyFont="1" applyFill="1" applyBorder="1" applyAlignment="1">
      <alignment horizontal="center"/>
    </xf>
    <xf numFmtId="189" fontId="14" fillId="17" borderId="38" xfId="0" applyNumberFormat="1" applyFont="1" applyFill="1" applyBorder="1" applyAlignment="1">
      <alignment horizontal="center"/>
    </xf>
    <xf numFmtId="189" fontId="14" fillId="17" borderId="53" xfId="0" applyNumberFormat="1" applyFont="1" applyFill="1" applyBorder="1" applyAlignment="1">
      <alignment horizontal="center"/>
    </xf>
    <xf numFmtId="173" fontId="14" fillId="17" borderId="37" xfId="0" applyNumberFormat="1" applyFont="1" applyFill="1" applyBorder="1" applyAlignment="1">
      <alignment horizontal="center"/>
    </xf>
    <xf numFmtId="173" fontId="14" fillId="17" borderId="38" xfId="0" applyNumberFormat="1" applyFont="1" applyFill="1" applyBorder="1" applyAlignment="1">
      <alignment horizontal="center"/>
    </xf>
    <xf numFmtId="173" fontId="14" fillId="17" borderId="53" xfId="0" applyNumberFormat="1" applyFont="1" applyFill="1" applyBorder="1" applyAlignment="1">
      <alignment horizontal="center"/>
    </xf>
    <xf numFmtId="195" fontId="1" fillId="26" borderId="55" xfId="0" applyNumberFormat="1" applyFont="1" applyFill="1" applyBorder="1" applyAlignment="1">
      <alignment horizontal="center"/>
    </xf>
    <xf numFmtId="195" fontId="1" fillId="26" borderId="41" xfId="0" applyNumberFormat="1" applyFont="1" applyFill="1" applyBorder="1" applyAlignment="1">
      <alignment horizontal="center"/>
    </xf>
    <xf numFmtId="0" fontId="1" fillId="26" borderId="17" xfId="0" applyFont="1" applyFill="1" applyBorder="1" applyAlignment="1">
      <alignment horizontal="center"/>
    </xf>
    <xf numFmtId="3" fontId="1" fillId="26" borderId="33" xfId="0" applyNumberFormat="1" applyFont="1" applyFill="1" applyBorder="1" applyAlignment="1">
      <alignment horizontal="center"/>
    </xf>
    <xf numFmtId="3" fontId="1" fillId="26" borderId="34" xfId="0" applyNumberFormat="1" applyFont="1" applyFill="1" applyBorder="1" applyAlignment="1">
      <alignment horizontal="center"/>
    </xf>
    <xf numFmtId="3" fontId="1" fillId="26" borderId="41" xfId="0" applyNumberFormat="1" applyFont="1" applyFill="1" applyBorder="1" applyAlignment="1">
      <alignment horizontal="center"/>
    </xf>
    <xf numFmtId="189" fontId="1" fillId="0" borderId="34" xfId="0" applyNumberFormat="1" applyFont="1" applyBorder="1" applyAlignment="1">
      <alignment horizontal="center"/>
    </xf>
    <xf numFmtId="189" fontId="1" fillId="0" borderId="44" xfId="0" applyNumberFormat="1" applyFont="1" applyFill="1" applyBorder="1" applyAlignment="1" applyProtection="1">
      <alignment horizontal="center"/>
      <protection/>
    </xf>
    <xf numFmtId="189" fontId="1" fillId="0" borderId="42" xfId="0" applyNumberFormat="1" applyFont="1" applyFill="1" applyBorder="1" applyAlignment="1" applyProtection="1">
      <alignment horizontal="center"/>
      <protection hidden="1"/>
    </xf>
    <xf numFmtId="0" fontId="5" fillId="0" borderId="0"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horizontal="centerContinuous"/>
    </xf>
    <xf numFmtId="0" fontId="20" fillId="0" borderId="0" xfId="0" applyFont="1" applyFill="1" applyBorder="1" applyAlignment="1">
      <alignment horizontal="centerContinuous"/>
    </xf>
    <xf numFmtId="3" fontId="2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187" fontId="21" fillId="0" borderId="0" xfId="0" applyNumberFormat="1" applyFont="1" applyFill="1" applyBorder="1" applyAlignment="1">
      <alignment horizontal="center"/>
    </xf>
    <xf numFmtId="0" fontId="1" fillId="15" borderId="0" xfId="0" applyFont="1" applyFill="1" applyAlignment="1">
      <alignment/>
    </xf>
    <xf numFmtId="0" fontId="2" fillId="15" borderId="0" xfId="0" applyFont="1" applyFill="1" applyAlignment="1">
      <alignment/>
    </xf>
    <xf numFmtId="0" fontId="4" fillId="15" borderId="0" xfId="0" applyFont="1" applyFill="1" applyAlignment="1">
      <alignment/>
    </xf>
    <xf numFmtId="173" fontId="1" fillId="15" borderId="0" xfId="0" applyNumberFormat="1" applyFont="1" applyFill="1" applyAlignment="1">
      <alignment horizontal="center"/>
    </xf>
    <xf numFmtId="4" fontId="5" fillId="17" borderId="10" xfId="0" applyNumberFormat="1" applyFont="1" applyFill="1" applyBorder="1" applyAlignment="1">
      <alignment horizontal="center"/>
    </xf>
    <xf numFmtId="3" fontId="5" fillId="17" borderId="10" xfId="0" applyNumberFormat="1" applyFont="1" applyFill="1" applyBorder="1" applyAlignment="1">
      <alignment horizontal="center"/>
    </xf>
    <xf numFmtId="3" fontId="5" fillId="17" borderId="10" xfId="0" applyNumberFormat="1" applyFont="1" applyFill="1" applyBorder="1" applyAlignment="1" applyProtection="1">
      <alignment horizontal="center"/>
      <protection/>
    </xf>
    <xf numFmtId="1" fontId="5" fillId="17" borderId="10" xfId="0" applyNumberFormat="1" applyFont="1" applyFill="1" applyBorder="1" applyAlignment="1" applyProtection="1">
      <alignment horizontal="center"/>
      <protection/>
    </xf>
    <xf numFmtId="2" fontId="5" fillId="17" borderId="10" xfId="0" applyNumberFormat="1" applyFont="1" applyFill="1" applyBorder="1" applyAlignment="1" applyProtection="1">
      <alignment horizontal="center"/>
      <protection/>
    </xf>
    <xf numFmtId="3" fontId="5" fillId="15" borderId="0" xfId="0" applyNumberFormat="1" applyFont="1" applyFill="1" applyBorder="1" applyAlignment="1">
      <alignment horizontal="center"/>
    </xf>
    <xf numFmtId="3" fontId="8" fillId="15" borderId="0" xfId="0" applyNumberFormat="1" applyFont="1" applyFill="1" applyBorder="1" applyAlignment="1">
      <alignment horizontal="center"/>
    </xf>
    <xf numFmtId="0" fontId="8" fillId="15" borderId="0" xfId="0" applyFont="1" applyFill="1" applyAlignment="1">
      <alignment horizontal="center"/>
    </xf>
    <xf numFmtId="1" fontId="1" fillId="15" borderId="0" xfId="0" applyNumberFormat="1" applyFont="1" applyFill="1" applyAlignment="1">
      <alignment/>
    </xf>
    <xf numFmtId="2" fontId="5" fillId="15" borderId="0" xfId="0" applyNumberFormat="1" applyFont="1" applyFill="1" applyBorder="1" applyAlignment="1">
      <alignment horizontal="center"/>
    </xf>
    <xf numFmtId="1" fontId="5" fillId="15" borderId="0" xfId="0" applyNumberFormat="1" applyFont="1" applyFill="1" applyBorder="1" applyAlignment="1">
      <alignment horizontal="center"/>
    </xf>
    <xf numFmtId="2" fontId="1" fillId="15" borderId="0" xfId="0" applyNumberFormat="1" applyFont="1" applyFill="1" applyAlignment="1">
      <alignment/>
    </xf>
    <xf numFmtId="0" fontId="18" fillId="15" borderId="0" xfId="0" applyFont="1" applyFill="1" applyAlignment="1">
      <alignment horizontal="center"/>
    </xf>
    <xf numFmtId="0" fontId="1" fillId="15" borderId="0" xfId="0" applyFont="1" applyFill="1" applyAlignment="1">
      <alignment horizontal="center"/>
    </xf>
    <xf numFmtId="0" fontId="1" fillId="15" borderId="0" xfId="0" applyFont="1" applyFill="1" applyBorder="1" applyAlignment="1">
      <alignment horizontal="right"/>
    </xf>
    <xf numFmtId="2" fontId="5" fillId="17" borderId="10" xfId="0" applyNumberFormat="1" applyFont="1" applyFill="1" applyBorder="1" applyAlignment="1">
      <alignment horizontal="center"/>
    </xf>
    <xf numFmtId="0" fontId="17" fillId="15" borderId="0" xfId="0" applyFont="1" applyFill="1" applyAlignment="1">
      <alignment/>
    </xf>
    <xf numFmtId="2" fontId="17" fillId="15" borderId="0" xfId="0" applyNumberFormat="1" applyFont="1" applyFill="1" applyAlignment="1">
      <alignment/>
    </xf>
    <xf numFmtId="0" fontId="9" fillId="15" borderId="0" xfId="0" applyFont="1" applyFill="1" applyAlignment="1">
      <alignment/>
    </xf>
    <xf numFmtId="0" fontId="10" fillId="15" borderId="0" xfId="0" applyFont="1" applyFill="1" applyAlignment="1">
      <alignment/>
    </xf>
    <xf numFmtId="0" fontId="0" fillId="15" borderId="0" xfId="0" applyFill="1" applyAlignment="1">
      <alignment/>
    </xf>
    <xf numFmtId="0" fontId="1" fillId="15" borderId="0" xfId="0" applyFont="1" applyFill="1" applyBorder="1" applyAlignment="1">
      <alignment/>
    </xf>
    <xf numFmtId="0" fontId="1" fillId="15" borderId="0" xfId="0" applyFont="1" applyFill="1" applyAlignment="1" applyProtection="1">
      <alignment/>
      <protection locked="0"/>
    </xf>
    <xf numFmtId="0" fontId="0" fillId="15" borderId="0" xfId="0" applyFill="1" applyAlignment="1" applyProtection="1">
      <alignment/>
      <protection locked="0"/>
    </xf>
    <xf numFmtId="0" fontId="2" fillId="15" borderId="0" xfId="0" applyFont="1" applyFill="1" applyAlignment="1" applyProtection="1">
      <alignment/>
      <protection/>
    </xf>
    <xf numFmtId="0" fontId="1" fillId="15" borderId="0" xfId="0" applyFont="1" applyFill="1" applyAlignment="1" applyProtection="1">
      <alignment/>
      <protection hidden="1"/>
    </xf>
    <xf numFmtId="0" fontId="1" fillId="15" borderId="0" xfId="0" applyFont="1" applyFill="1" applyAlignment="1" applyProtection="1">
      <alignment/>
      <protection/>
    </xf>
    <xf numFmtId="0" fontId="1" fillId="15" borderId="0" xfId="0" applyFont="1" applyFill="1" applyBorder="1" applyAlignment="1" applyProtection="1">
      <alignment/>
      <protection/>
    </xf>
    <xf numFmtId="187" fontId="5" fillId="15" borderId="0" xfId="0" applyNumberFormat="1" applyFont="1" applyFill="1" applyBorder="1" applyAlignment="1">
      <alignment horizontal="center"/>
    </xf>
    <xf numFmtId="187" fontId="1" fillId="15" borderId="0" xfId="0" applyNumberFormat="1" applyFont="1" applyFill="1" applyBorder="1" applyAlignment="1" applyProtection="1">
      <alignment horizontal="center"/>
      <protection locked="0"/>
    </xf>
    <xf numFmtId="0" fontId="11" fillId="15" borderId="0" xfId="0" applyFont="1" applyFill="1" applyBorder="1" applyAlignment="1" applyProtection="1">
      <alignment/>
      <protection/>
    </xf>
    <xf numFmtId="187" fontId="1" fillId="15" borderId="0" xfId="0" applyNumberFormat="1" applyFont="1" applyFill="1" applyBorder="1" applyAlignment="1">
      <alignment horizontal="center"/>
    </xf>
    <xf numFmtId="0" fontId="1" fillId="15" borderId="0" xfId="0" applyFont="1" applyFill="1" applyBorder="1" applyAlignment="1" applyProtection="1">
      <alignment horizontal="centerContinuous"/>
      <protection hidden="1"/>
    </xf>
    <xf numFmtId="187" fontId="1" fillId="15" borderId="0" xfId="0" applyNumberFormat="1" applyFont="1" applyFill="1" applyBorder="1" applyAlignment="1" applyProtection="1">
      <alignment horizontal="center"/>
      <protection hidden="1" locked="0"/>
    </xf>
    <xf numFmtId="0" fontId="1" fillId="15" borderId="0" xfId="0" applyFont="1" applyFill="1" applyBorder="1" applyAlignment="1" applyProtection="1">
      <alignment/>
      <protection hidden="1"/>
    </xf>
    <xf numFmtId="0" fontId="1" fillId="24" borderId="32" xfId="0" applyFont="1" applyFill="1" applyBorder="1" applyAlignment="1" applyProtection="1">
      <alignment/>
      <protection locked="0"/>
    </xf>
    <xf numFmtId="0" fontId="1" fillId="24" borderId="29" xfId="0" applyFont="1" applyFill="1" applyBorder="1" applyAlignment="1">
      <alignment/>
    </xf>
    <xf numFmtId="0" fontId="1" fillId="24" borderId="50" xfId="0" applyFont="1" applyFill="1" applyBorder="1" applyAlignment="1">
      <alignment/>
    </xf>
    <xf numFmtId="0" fontId="9" fillId="15" borderId="0" xfId="0" applyFont="1" applyFill="1" applyAlignment="1" applyProtection="1">
      <alignment/>
      <protection hidden="1"/>
    </xf>
    <xf numFmtId="0" fontId="11" fillId="15" borderId="0" xfId="0" applyFont="1" applyFill="1" applyAlignment="1">
      <alignment/>
    </xf>
    <xf numFmtId="199" fontId="12" fillId="15" borderId="0" xfId="0" applyNumberFormat="1" applyFont="1" applyFill="1" applyBorder="1" applyAlignment="1">
      <alignment horizontal="center"/>
    </xf>
    <xf numFmtId="0" fontId="1" fillId="15" borderId="11" xfId="0" applyFont="1" applyFill="1" applyBorder="1" applyAlignment="1" applyProtection="1">
      <alignment horizontal="center"/>
      <protection hidden="1"/>
    </xf>
    <xf numFmtId="0" fontId="1" fillId="15" borderId="15" xfId="0" applyFont="1" applyFill="1" applyBorder="1" applyAlignment="1" applyProtection="1">
      <alignment horizontal="center"/>
      <protection hidden="1"/>
    </xf>
    <xf numFmtId="0" fontId="1" fillId="15" borderId="42" xfId="0" applyFont="1" applyFill="1" applyBorder="1" applyAlignment="1" applyProtection="1">
      <alignment horizontal="center"/>
      <protection hidden="1"/>
    </xf>
    <xf numFmtId="187" fontId="9" fillId="15" borderId="48" xfId="0" applyNumberFormat="1" applyFont="1" applyFill="1" applyBorder="1" applyAlignment="1" applyProtection="1">
      <alignment horizontal="center"/>
      <protection hidden="1"/>
    </xf>
    <xf numFmtId="0" fontId="9" fillId="15" borderId="52" xfId="0" applyFont="1" applyFill="1" applyBorder="1" applyAlignment="1" applyProtection="1">
      <alignment/>
      <protection hidden="1"/>
    </xf>
    <xf numFmtId="0" fontId="14" fillId="15" borderId="56" xfId="0" applyFont="1" applyFill="1" applyBorder="1" applyAlignment="1" applyProtection="1">
      <alignment horizontal="center"/>
      <protection hidden="1"/>
    </xf>
    <xf numFmtId="0" fontId="14" fillId="15" borderId="21" xfId="0" applyFont="1" applyFill="1" applyBorder="1" applyAlignment="1" applyProtection="1">
      <alignment horizontal="center"/>
      <protection hidden="1"/>
    </xf>
    <xf numFmtId="187" fontId="9" fillId="15" borderId="27" xfId="0" applyNumberFormat="1" applyFont="1" applyFill="1" applyBorder="1" applyAlignment="1" applyProtection="1">
      <alignment horizontal="center"/>
      <protection hidden="1"/>
    </xf>
    <xf numFmtId="187" fontId="9" fillId="15" borderId="52" xfId="0" applyNumberFormat="1" applyFont="1" applyFill="1" applyBorder="1" applyAlignment="1" applyProtection="1">
      <alignment horizontal="center"/>
      <protection hidden="1"/>
    </xf>
    <xf numFmtId="0" fontId="9" fillId="15" borderId="51" xfId="0" applyFont="1" applyFill="1" applyBorder="1" applyAlignment="1" applyProtection="1">
      <alignment horizontal="center"/>
      <protection hidden="1"/>
    </xf>
    <xf numFmtId="0" fontId="9" fillId="15" borderId="28" xfId="0" applyFont="1" applyFill="1" applyBorder="1" applyAlignment="1" applyProtection="1">
      <alignment horizontal="center"/>
      <protection hidden="1"/>
    </xf>
    <xf numFmtId="187" fontId="9" fillId="15" borderId="28" xfId="0" applyNumberFormat="1"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187" fontId="9" fillId="15" borderId="33" xfId="0" applyNumberFormat="1" applyFont="1" applyFill="1" applyBorder="1" applyAlignment="1" applyProtection="1">
      <alignment horizontal="center"/>
      <protection hidden="1"/>
    </xf>
    <xf numFmtId="187" fontId="9" fillId="15" borderId="34" xfId="0" applyNumberFormat="1" applyFont="1" applyFill="1" applyBorder="1" applyAlignment="1" applyProtection="1">
      <alignment horizontal="center"/>
      <protection hidden="1"/>
    </xf>
    <xf numFmtId="0" fontId="9" fillId="15" borderId="55" xfId="0" applyFont="1" applyFill="1" applyBorder="1" applyAlignment="1" applyProtection="1">
      <alignment horizontal="center"/>
      <protection hidden="1"/>
    </xf>
    <xf numFmtId="0" fontId="9" fillId="15" borderId="34" xfId="0" applyFont="1" applyFill="1" applyBorder="1" applyAlignment="1" applyProtection="1">
      <alignment horizontal="center"/>
      <protection hidden="1"/>
    </xf>
    <xf numFmtId="0" fontId="9" fillId="15" borderId="0" xfId="0" applyFont="1" applyFill="1" applyBorder="1" applyAlignment="1">
      <alignment horizontal="center"/>
    </xf>
    <xf numFmtId="0" fontId="1" fillId="15" borderId="15" xfId="0" applyFont="1" applyFill="1" applyBorder="1" applyAlignment="1" applyProtection="1">
      <alignment horizontal="center" wrapText="1"/>
      <protection hidden="1"/>
    </xf>
    <xf numFmtId="0" fontId="1" fillId="15" borderId="40" xfId="0" applyFont="1" applyFill="1" applyBorder="1" applyAlignment="1" applyProtection="1">
      <alignment horizontal="center" wrapText="1"/>
      <protection hidden="1"/>
    </xf>
    <xf numFmtId="0" fontId="1" fillId="15" borderId="15" xfId="0" applyFont="1" applyFill="1" applyBorder="1" applyAlignment="1">
      <alignment horizontal="center" wrapText="1"/>
    </xf>
    <xf numFmtId="0" fontId="1" fillId="15" borderId="40" xfId="0" applyFont="1" applyFill="1" applyBorder="1" applyAlignment="1">
      <alignment horizontal="center" wrapText="1"/>
    </xf>
    <xf numFmtId="0" fontId="11" fillId="15" borderId="0" xfId="0" applyFont="1" applyFill="1" applyBorder="1" applyAlignment="1">
      <alignment/>
    </xf>
    <xf numFmtId="0" fontId="9" fillId="15" borderId="0" xfId="0" applyFont="1" applyFill="1" applyBorder="1" applyAlignment="1">
      <alignment/>
    </xf>
    <xf numFmtId="0" fontId="1" fillId="15" borderId="27" xfId="0" applyFont="1" applyFill="1" applyBorder="1" applyAlignment="1" applyProtection="1">
      <alignment horizontal="center"/>
      <protection hidden="1"/>
    </xf>
    <xf numFmtId="5" fontId="1" fillId="15" borderId="21" xfId="44" applyNumberFormat="1" applyFont="1" applyFill="1" applyBorder="1" applyAlignment="1" applyProtection="1">
      <alignment horizontal="center"/>
      <protection hidden="1"/>
    </xf>
    <xf numFmtId="0" fontId="9" fillId="15" borderId="56" xfId="0" applyFont="1" applyFill="1" applyBorder="1" applyAlignment="1" applyProtection="1">
      <alignment horizontal="center"/>
      <protection hidden="1"/>
    </xf>
    <xf numFmtId="0" fontId="9" fillId="15" borderId="21" xfId="0" applyFont="1" applyFill="1" applyBorder="1" applyAlignment="1" applyProtection="1">
      <alignment horizontal="center"/>
      <protection hidden="1"/>
    </xf>
    <xf numFmtId="5" fontId="1" fillId="15" borderId="21" xfId="0" applyNumberFormat="1" applyFont="1" applyFill="1" applyBorder="1" applyAlignment="1">
      <alignment horizontal="center"/>
    </xf>
    <xf numFmtId="187" fontId="1" fillId="15" borderId="21" xfId="0" applyNumberFormat="1" applyFont="1" applyFill="1" applyBorder="1" applyAlignment="1">
      <alignment horizontal="center"/>
    </xf>
    <xf numFmtId="0" fontId="1" fillId="15" borderId="0" xfId="0" applyFont="1" applyFill="1" applyBorder="1" applyAlignment="1" applyProtection="1">
      <alignment/>
      <protection locked="0"/>
    </xf>
    <xf numFmtId="187" fontId="9" fillId="15" borderId="0" xfId="0" applyNumberFormat="1" applyFont="1" applyFill="1" applyBorder="1" applyAlignment="1" applyProtection="1">
      <alignment horizontal="center"/>
      <protection locked="0"/>
    </xf>
    <xf numFmtId="5" fontId="1" fillId="15" borderId="28" xfId="44" applyNumberFormat="1" applyFont="1" applyFill="1" applyBorder="1" applyAlignment="1" applyProtection="1">
      <alignment horizontal="center"/>
      <protection hidden="1"/>
    </xf>
    <xf numFmtId="5" fontId="1" fillId="15" borderId="28" xfId="0" applyNumberFormat="1" applyFont="1" applyFill="1" applyBorder="1" applyAlignment="1">
      <alignment horizontal="center"/>
    </xf>
    <xf numFmtId="187" fontId="1" fillId="15" borderId="28" xfId="0" applyNumberFormat="1" applyFont="1" applyFill="1" applyBorder="1" applyAlignment="1">
      <alignment horizontal="center"/>
    </xf>
    <xf numFmtId="0" fontId="9" fillId="15" borderId="0" xfId="0" applyFont="1" applyFill="1" applyBorder="1" applyAlignment="1" applyProtection="1">
      <alignment/>
      <protection locked="0"/>
    </xf>
    <xf numFmtId="0" fontId="11" fillId="15" borderId="0" xfId="0" applyFont="1" applyFill="1" applyBorder="1" applyAlignment="1" applyProtection="1">
      <alignment/>
      <protection locked="0"/>
    </xf>
    <xf numFmtId="0" fontId="1" fillId="15" borderId="33" xfId="0" applyFont="1" applyFill="1" applyBorder="1" applyAlignment="1" applyProtection="1">
      <alignment horizontal="center"/>
      <protection hidden="1"/>
    </xf>
    <xf numFmtId="5" fontId="1" fillId="15" borderId="34" xfId="44" applyNumberFormat="1" applyFont="1" applyFill="1" applyBorder="1" applyAlignment="1" applyProtection="1">
      <alignment horizontal="center"/>
      <protection hidden="1"/>
    </xf>
    <xf numFmtId="5" fontId="1" fillId="15" borderId="34" xfId="0" applyNumberFormat="1" applyFont="1" applyFill="1" applyBorder="1" applyAlignment="1">
      <alignment horizontal="center"/>
    </xf>
    <xf numFmtId="187" fontId="1" fillId="15" borderId="34" xfId="0" applyNumberFormat="1" applyFont="1" applyFill="1" applyBorder="1" applyAlignment="1">
      <alignment horizontal="center"/>
    </xf>
    <xf numFmtId="199" fontId="5" fillId="17" borderId="10" xfId="0" applyNumberFormat="1" applyFont="1" applyFill="1" applyBorder="1" applyAlignment="1">
      <alignment horizontal="center"/>
    </xf>
    <xf numFmtId="10" fontId="1" fillId="24" borderId="15" xfId="0" applyNumberFormat="1" applyFont="1" applyFill="1" applyBorder="1" applyAlignment="1" applyProtection="1">
      <alignment horizontal="center"/>
      <protection hidden="1" locked="0"/>
    </xf>
    <xf numFmtId="8" fontId="9" fillId="0" borderId="0" xfId="0" applyNumberFormat="1"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6" fontId="9" fillId="0" borderId="10" xfId="0" applyNumberFormat="1" applyFont="1" applyFill="1" applyBorder="1" applyAlignment="1" applyProtection="1">
      <alignment horizontal="center"/>
      <protection hidden="1"/>
    </xf>
    <xf numFmtId="8" fontId="9" fillId="0" borderId="10" xfId="0" applyNumberFormat="1" applyFont="1" applyFill="1" applyBorder="1" applyAlignment="1" applyProtection="1">
      <alignment horizontal="center"/>
      <protection hidden="1"/>
    </xf>
    <xf numFmtId="189" fontId="9" fillId="0" borderId="10" xfId="0" applyNumberFormat="1" applyFont="1" applyFill="1" applyBorder="1" applyAlignment="1" applyProtection="1">
      <alignment horizontal="center"/>
      <protection hidden="1"/>
    </xf>
    <xf numFmtId="187" fontId="9" fillId="0" borderId="51" xfId="0" applyNumberFormat="1" applyFont="1" applyFill="1" applyBorder="1" applyAlignment="1" applyProtection="1">
      <alignment horizontal="center"/>
      <protection hidden="1"/>
    </xf>
    <xf numFmtId="187" fontId="9" fillId="0" borderId="55" xfId="0" applyNumberFormat="1" applyFont="1" applyFill="1" applyBorder="1" applyAlignment="1" applyProtection="1">
      <alignment horizontal="center"/>
      <protection hidden="1"/>
    </xf>
    <xf numFmtId="3" fontId="16" fillId="15" borderId="0" xfId="0" applyNumberFormat="1" applyFont="1" applyFill="1" applyBorder="1" applyAlignment="1" applyProtection="1">
      <alignment horizontal="center"/>
      <protection locked="0"/>
    </xf>
    <xf numFmtId="0" fontId="1" fillId="15" borderId="0" xfId="0" applyFont="1" applyFill="1" applyBorder="1" applyAlignment="1" applyProtection="1">
      <alignment horizontal="left"/>
      <protection hidden="1"/>
    </xf>
    <xf numFmtId="0" fontId="1" fillId="15" borderId="0" xfId="0" applyFont="1" applyFill="1" applyAlignment="1">
      <alignment horizontal="left"/>
    </xf>
    <xf numFmtId="10" fontId="5" fillId="17" borderId="10" xfId="0" applyNumberFormat="1" applyFont="1" applyFill="1" applyBorder="1" applyAlignment="1">
      <alignment horizontal="center"/>
    </xf>
    <xf numFmtId="0" fontId="9" fillId="15" borderId="0" xfId="0" applyFont="1" applyFill="1" applyAlignment="1" applyProtection="1">
      <alignment/>
      <protection/>
    </xf>
    <xf numFmtId="0" fontId="4" fillId="15" borderId="0" xfId="0" applyFont="1" applyFill="1" applyAlignment="1" applyProtection="1">
      <alignment/>
      <protection/>
    </xf>
    <xf numFmtId="0" fontId="1" fillId="15" borderId="0" xfId="0" applyFont="1" applyFill="1" applyAlignment="1" applyProtection="1">
      <alignment horizontal="center"/>
      <protection/>
    </xf>
    <xf numFmtId="9" fontId="1" fillId="15" borderId="0" xfId="0" applyNumberFormat="1" applyFont="1" applyFill="1" applyAlignment="1" applyProtection="1">
      <alignment/>
      <protection/>
    </xf>
    <xf numFmtId="3" fontId="1" fillId="15" borderId="0" xfId="0" applyNumberFormat="1" applyFont="1" applyFill="1" applyAlignment="1" applyProtection="1">
      <alignment horizontal="center"/>
      <protection/>
    </xf>
    <xf numFmtId="1" fontId="1" fillId="15" borderId="0" xfId="0" applyNumberFormat="1" applyFont="1" applyFill="1" applyAlignment="1" applyProtection="1">
      <alignment horizontal="center"/>
      <protection/>
    </xf>
    <xf numFmtId="3" fontId="5" fillId="15" borderId="0" xfId="0" applyNumberFormat="1" applyFont="1" applyFill="1" applyBorder="1" applyAlignment="1" applyProtection="1">
      <alignment horizontal="center"/>
      <protection/>
    </xf>
    <xf numFmtId="0" fontId="0" fillId="15" borderId="0" xfId="0" applyFont="1" applyFill="1" applyAlignment="1" applyProtection="1">
      <alignment/>
      <protection/>
    </xf>
    <xf numFmtId="0" fontId="8" fillId="15" borderId="0" xfId="0" applyFont="1" applyFill="1" applyAlignment="1" applyProtection="1">
      <alignment horizontal="center"/>
      <protection/>
    </xf>
    <xf numFmtId="0" fontId="8" fillId="15" borderId="0" xfId="0" applyFont="1" applyFill="1" applyAlignment="1" applyProtection="1">
      <alignment horizontal="centerContinuous"/>
      <protection/>
    </xf>
    <xf numFmtId="0" fontId="11" fillId="15" borderId="0" xfId="0" applyFont="1" applyFill="1" applyAlignment="1" applyProtection="1">
      <alignment/>
      <protection/>
    </xf>
    <xf numFmtId="4" fontId="14" fillId="17" borderId="10" xfId="0" applyNumberFormat="1" applyFont="1" applyFill="1" applyBorder="1" applyAlignment="1" applyProtection="1">
      <alignment horizontal="center"/>
      <protection/>
    </xf>
    <xf numFmtId="3" fontId="9" fillId="24" borderId="10" xfId="0" applyNumberFormat="1" applyFont="1" applyFill="1" applyBorder="1" applyAlignment="1" applyProtection="1">
      <alignment horizontal="center"/>
      <protection locked="0"/>
    </xf>
    <xf numFmtId="4" fontId="9" fillId="24" borderId="10" xfId="0" applyNumberFormat="1" applyFont="1" applyFill="1" applyBorder="1" applyAlignment="1" applyProtection="1">
      <alignment horizontal="center"/>
      <protection locked="0"/>
    </xf>
    <xf numFmtId="10" fontId="1" fillId="15" borderId="0" xfId="0" applyNumberFormat="1" applyFont="1" applyFill="1" applyBorder="1" applyAlignment="1" applyProtection="1">
      <alignment horizontal="center"/>
      <protection locked="0"/>
    </xf>
    <xf numFmtId="0" fontId="22" fillId="15" borderId="0" xfId="0" applyFont="1" applyFill="1" applyAlignment="1">
      <alignment/>
    </xf>
    <xf numFmtId="3" fontId="5" fillId="28" borderId="10" xfId="0" applyNumberFormat="1" applyFont="1" applyFill="1" applyBorder="1" applyAlignment="1">
      <alignment horizontal="center"/>
    </xf>
    <xf numFmtId="173" fontId="5" fillId="17" borderId="10" xfId="0" applyNumberFormat="1" applyFont="1" applyFill="1" applyBorder="1" applyAlignment="1">
      <alignment horizontal="center"/>
    </xf>
    <xf numFmtId="2" fontId="1" fillId="15" borderId="0" xfId="0" applyNumberFormat="1" applyFont="1" applyFill="1" applyBorder="1" applyAlignment="1">
      <alignment/>
    </xf>
    <xf numFmtId="213" fontId="1" fillId="24" borderId="10" xfId="44" applyNumberFormat="1" applyFont="1" applyFill="1" applyBorder="1" applyAlignment="1" applyProtection="1">
      <alignment horizontal="center"/>
      <protection locked="0"/>
    </xf>
    <xf numFmtId="213" fontId="5" fillId="17" borderId="10" xfId="44" applyNumberFormat="1" applyFont="1" applyFill="1" applyBorder="1" applyAlignment="1" applyProtection="1">
      <alignment horizontal="center"/>
      <protection/>
    </xf>
    <xf numFmtId="1" fontId="9" fillId="0" borderId="0" xfId="0" applyNumberFormat="1" applyFont="1" applyFill="1" applyAlignment="1" applyProtection="1">
      <alignment horizontal="center"/>
      <protection hidden="1"/>
    </xf>
    <xf numFmtId="217" fontId="1" fillId="15" borderId="0" xfId="0" applyNumberFormat="1" applyFont="1" applyFill="1" applyAlignment="1">
      <alignment/>
    </xf>
    <xf numFmtId="217" fontId="1" fillId="15" borderId="0" xfId="0" applyNumberFormat="1" applyFont="1" applyFill="1" applyAlignment="1">
      <alignment horizontal="center"/>
    </xf>
    <xf numFmtId="214" fontId="9" fillId="15" borderId="0" xfId="0" applyNumberFormat="1" applyFont="1" applyFill="1" applyAlignment="1" applyProtection="1">
      <alignment/>
      <protection/>
    </xf>
    <xf numFmtId="217" fontId="9" fillId="15" borderId="0" xfId="0" applyNumberFormat="1" applyFont="1" applyFill="1" applyAlignment="1" applyProtection="1">
      <alignment/>
      <protection/>
    </xf>
    <xf numFmtId="3" fontId="17" fillId="15" borderId="0" xfId="0" applyNumberFormat="1" applyFont="1" applyFill="1" applyBorder="1" applyAlignment="1" applyProtection="1">
      <alignment horizontal="center"/>
      <protection/>
    </xf>
    <xf numFmtId="0" fontId="61" fillId="15" borderId="0" xfId="0" applyFont="1" applyFill="1" applyBorder="1" applyAlignment="1" applyProtection="1">
      <alignment/>
      <protection/>
    </xf>
    <xf numFmtId="217" fontId="17" fillId="15" borderId="0" xfId="0" applyNumberFormat="1" applyFont="1" applyFill="1" applyBorder="1" applyAlignment="1" applyProtection="1">
      <alignment horizontal="center"/>
      <protection/>
    </xf>
    <xf numFmtId="0" fontId="61" fillId="15" borderId="0" xfId="0" applyFont="1" applyFill="1" applyAlignment="1" applyProtection="1">
      <alignment/>
      <protection/>
    </xf>
    <xf numFmtId="0" fontId="8" fillId="15" borderId="0" xfId="0" applyFont="1" applyFill="1" applyAlignment="1">
      <alignment horizontal="center" wrapText="1"/>
    </xf>
    <xf numFmtId="2" fontId="5" fillId="15" borderId="0" xfId="0" applyNumberFormat="1" applyFont="1" applyFill="1" applyBorder="1" applyAlignment="1" applyProtection="1">
      <alignment horizontal="center"/>
      <protection/>
    </xf>
    <xf numFmtId="172" fontId="1" fillId="15" borderId="0" xfId="0" applyNumberFormat="1" applyFont="1" applyFill="1" applyBorder="1" applyAlignment="1" applyProtection="1">
      <alignment horizontal="left"/>
      <protection/>
    </xf>
    <xf numFmtId="172" fontId="1" fillId="24" borderId="10" xfId="0" applyNumberFormat="1" applyFont="1" applyFill="1" applyBorder="1" applyAlignment="1" applyProtection="1">
      <alignment horizontal="center"/>
      <protection locked="0"/>
    </xf>
    <xf numFmtId="187" fontId="1" fillId="24" borderId="10" xfId="0" applyNumberFormat="1" applyFont="1" applyFill="1" applyBorder="1" applyAlignment="1" applyProtection="1">
      <alignment horizontal="center"/>
      <protection locked="0"/>
    </xf>
    <xf numFmtId="187" fontId="5" fillId="17" borderId="10" xfId="0" applyNumberFormat="1" applyFont="1" applyFill="1" applyBorder="1" applyAlignment="1">
      <alignment horizontal="center"/>
    </xf>
    <xf numFmtId="189" fontId="1" fillId="24" borderId="10" xfId="0" applyNumberFormat="1" applyFont="1" applyFill="1" applyBorder="1" applyAlignment="1" applyProtection="1">
      <alignment horizontal="center"/>
      <protection locked="0"/>
    </xf>
    <xf numFmtId="187" fontId="5" fillId="28" borderId="10" xfId="0" applyNumberFormat="1" applyFont="1" applyFill="1" applyBorder="1" applyAlignment="1">
      <alignment horizontal="center"/>
    </xf>
    <xf numFmtId="220" fontId="5" fillId="15" borderId="0" xfId="0" applyNumberFormat="1" applyFont="1" applyFill="1" applyBorder="1" applyAlignment="1">
      <alignment horizontal="center"/>
    </xf>
    <xf numFmtId="187" fontId="5" fillId="17" borderId="10" xfId="0" applyNumberFormat="1" applyFont="1" applyFill="1" applyBorder="1" applyAlignment="1" applyProtection="1">
      <alignment horizontal="center"/>
      <protection/>
    </xf>
    <xf numFmtId="187" fontId="1" fillId="15" borderId="0" xfId="0" applyNumberFormat="1" applyFont="1" applyFill="1" applyAlignment="1">
      <alignment/>
    </xf>
    <xf numFmtId="189" fontId="5" fillId="17" borderId="10" xfId="0" applyNumberFormat="1" applyFont="1" applyFill="1" applyBorder="1" applyAlignment="1">
      <alignment horizontal="center"/>
    </xf>
    <xf numFmtId="222" fontId="5" fillId="15" borderId="0" xfId="0" applyNumberFormat="1" applyFont="1" applyFill="1" applyBorder="1" applyAlignment="1">
      <alignment horizontal="center"/>
    </xf>
    <xf numFmtId="187" fontId="1" fillId="15" borderId="0" xfId="0" applyNumberFormat="1" applyFont="1" applyFill="1" applyAlignment="1">
      <alignment horizontal="center"/>
    </xf>
    <xf numFmtId="3" fontId="1" fillId="15" borderId="0" xfId="0" applyNumberFormat="1" applyFont="1" applyFill="1" applyBorder="1" applyAlignment="1" applyProtection="1">
      <alignment horizontal="center"/>
      <protection locked="0"/>
    </xf>
    <xf numFmtId="0" fontId="1" fillId="15" borderId="0" xfId="0" applyFont="1" applyFill="1" applyBorder="1" applyAlignment="1">
      <alignment horizontal="center"/>
    </xf>
    <xf numFmtId="0" fontId="9" fillId="15" borderId="0" xfId="0" applyFont="1" applyFill="1" applyBorder="1" applyAlignment="1" applyProtection="1">
      <alignment/>
      <protection/>
    </xf>
    <xf numFmtId="189" fontId="9" fillId="24" borderId="10" xfId="0" applyNumberFormat="1" applyFont="1" applyFill="1" applyBorder="1" applyAlignment="1" applyProtection="1">
      <alignment horizontal="center"/>
      <protection locked="0"/>
    </xf>
    <xf numFmtId="189" fontId="14" fillId="17" borderId="10" xfId="0" applyNumberFormat="1" applyFont="1" applyFill="1" applyBorder="1" applyAlignment="1" applyProtection="1">
      <alignment horizontal="center"/>
      <protection/>
    </xf>
    <xf numFmtId="189" fontId="1" fillId="15" borderId="0" xfId="0" applyNumberFormat="1" applyFont="1" applyFill="1" applyAlignment="1" applyProtection="1">
      <alignment horizontal="center"/>
      <protection/>
    </xf>
    <xf numFmtId="0" fontId="65" fillId="15" borderId="0" xfId="0" applyFont="1" applyFill="1" applyBorder="1" applyAlignment="1">
      <alignment/>
    </xf>
    <xf numFmtId="4" fontId="1" fillId="15" borderId="0" xfId="0" applyNumberFormat="1" applyFont="1" applyFill="1" applyBorder="1" applyAlignment="1" applyProtection="1">
      <alignment horizontal="center"/>
      <protection locked="0"/>
    </xf>
    <xf numFmtId="173" fontId="5" fillId="17" borderId="10" xfId="0" applyNumberFormat="1" applyFont="1" applyFill="1" applyBorder="1" applyAlignment="1" applyProtection="1">
      <alignment horizontal="center"/>
      <protection/>
    </xf>
    <xf numFmtId="0" fontId="18" fillId="15" borderId="0" xfId="0" applyFont="1" applyFill="1" applyAlignment="1">
      <alignment/>
    </xf>
    <xf numFmtId="0" fontId="5" fillId="17" borderId="10" xfId="0" applyFont="1" applyFill="1" applyBorder="1" applyAlignment="1" applyProtection="1">
      <alignment horizontal="center"/>
      <protection/>
    </xf>
    <xf numFmtId="10" fontId="5" fillId="17" borderId="10" xfId="0" applyNumberFormat="1" applyFont="1" applyFill="1" applyBorder="1" applyAlignment="1" applyProtection="1">
      <alignment horizontal="center"/>
      <protection/>
    </xf>
    <xf numFmtId="0" fontId="5" fillId="17" borderId="10" xfId="0" applyFont="1" applyFill="1" applyBorder="1" applyAlignment="1">
      <alignment horizontal="center"/>
    </xf>
    <xf numFmtId="0" fontId="17" fillId="15" borderId="0" xfId="0" applyFont="1" applyFill="1" applyAlignment="1" applyProtection="1">
      <alignment horizontal="center"/>
      <protection locked="0"/>
    </xf>
    <xf numFmtId="0" fontId="1" fillId="15" borderId="0" xfId="0" applyFont="1" applyFill="1" applyAlignment="1">
      <alignment horizontal="right"/>
    </xf>
    <xf numFmtId="189" fontId="5" fillId="17" borderId="10" xfId="0" applyNumberFormat="1"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10" xfId="0" applyFont="1" applyFill="1" applyBorder="1" applyAlignment="1">
      <alignment horizontal="center"/>
    </xf>
    <xf numFmtId="0" fontId="13" fillId="28" borderId="0" xfId="0" applyFont="1" applyFill="1" applyBorder="1" applyAlignment="1">
      <alignment horizontal="center"/>
    </xf>
    <xf numFmtId="0" fontId="14" fillId="28" borderId="0" xfId="0" applyFont="1" applyFill="1" applyBorder="1" applyAlignment="1">
      <alignment/>
    </xf>
    <xf numFmtId="0" fontId="1" fillId="15" borderId="10" xfId="0" applyFont="1" applyFill="1" applyBorder="1" applyAlignment="1" applyProtection="1">
      <alignment/>
      <protection/>
    </xf>
    <xf numFmtId="0" fontId="5" fillId="17" borderId="10" xfId="0" applyFont="1" applyFill="1" applyBorder="1" applyAlignment="1" applyProtection="1">
      <alignment horizontal="center"/>
      <protection locked="0"/>
    </xf>
    <xf numFmtId="187" fontId="9" fillId="24" borderId="10" xfId="0" applyNumberFormat="1" applyFont="1" applyFill="1" applyBorder="1" applyAlignment="1" applyProtection="1">
      <alignment horizontal="center"/>
      <protection locked="0"/>
    </xf>
    <xf numFmtId="0" fontId="9" fillId="24" borderId="10" xfId="0" applyFont="1" applyFill="1" applyBorder="1" applyAlignment="1" applyProtection="1">
      <alignment horizontal="center"/>
      <protection locked="0"/>
    </xf>
    <xf numFmtId="9" fontId="9" fillId="24" borderId="10" xfId="59" applyFont="1" applyFill="1" applyBorder="1" applyAlignment="1" applyProtection="1">
      <alignment horizontal="center"/>
      <protection locked="0"/>
    </xf>
    <xf numFmtId="0" fontId="15" fillId="28" borderId="0" xfId="0" applyFont="1" applyFill="1" applyBorder="1" applyAlignment="1" applyProtection="1">
      <alignment horizontal="center"/>
      <protection locked="0"/>
    </xf>
    <xf numFmtId="187" fontId="14" fillId="28" borderId="0" xfId="0" applyNumberFormat="1" applyFont="1" applyFill="1" applyBorder="1" applyAlignment="1">
      <alignment horizontal="center"/>
    </xf>
    <xf numFmtId="0" fontId="14" fillId="28" borderId="0" xfId="0" applyFont="1" applyFill="1" applyBorder="1" applyAlignment="1">
      <alignment horizontal="center"/>
    </xf>
    <xf numFmtId="1" fontId="9" fillId="24" borderId="10" xfId="0" applyNumberFormat="1" applyFont="1" applyFill="1" applyBorder="1" applyAlignment="1" applyProtection="1">
      <alignment horizontal="center"/>
      <protection locked="0"/>
    </xf>
    <xf numFmtId="0" fontId="5" fillId="28" borderId="32" xfId="0" applyFont="1" applyFill="1" applyBorder="1" applyAlignment="1" applyProtection="1">
      <alignment/>
      <protection/>
    </xf>
    <xf numFmtId="0" fontId="5" fillId="28" borderId="29" xfId="0" applyFont="1" applyFill="1" applyBorder="1" applyAlignment="1">
      <alignment/>
    </xf>
    <xf numFmtId="217" fontId="5" fillId="28" borderId="29" xfId="0" applyNumberFormat="1" applyFont="1" applyFill="1" applyBorder="1" applyAlignment="1">
      <alignment/>
    </xf>
    <xf numFmtId="187" fontId="5" fillId="28" borderId="50" xfId="0" applyNumberFormat="1" applyFont="1" applyFill="1" applyBorder="1" applyAlignment="1">
      <alignment horizontal="center"/>
    </xf>
    <xf numFmtId="0" fontId="13" fillId="28" borderId="58" xfId="0" applyFont="1" applyFill="1" applyBorder="1" applyAlignment="1" applyProtection="1">
      <alignment/>
      <protection/>
    </xf>
    <xf numFmtId="0" fontId="14" fillId="28" borderId="59" xfId="0" applyFont="1" applyFill="1" applyBorder="1" applyAlignment="1">
      <alignment/>
    </xf>
    <xf numFmtId="9" fontId="14" fillId="28" borderId="59" xfId="59" applyFont="1" applyFill="1" applyBorder="1" applyAlignment="1">
      <alignment horizontal="center"/>
    </xf>
    <xf numFmtId="187" fontId="1" fillId="15" borderId="0" xfId="0" applyNumberFormat="1" applyFont="1" applyFill="1" applyBorder="1" applyAlignment="1">
      <alignment horizontal="left"/>
    </xf>
    <xf numFmtId="10" fontId="1" fillId="15" borderId="0" xfId="0" applyNumberFormat="1" applyFont="1" applyFill="1" applyBorder="1" applyAlignment="1" applyProtection="1">
      <alignment horizontal="left"/>
      <protection locked="0"/>
    </xf>
    <xf numFmtId="189" fontId="1" fillId="15" borderId="0" xfId="0" applyNumberFormat="1" applyFont="1" applyFill="1" applyBorder="1" applyAlignment="1">
      <alignment/>
    </xf>
    <xf numFmtId="0" fontId="5" fillId="28" borderId="10" xfId="0" applyFont="1" applyFill="1" applyBorder="1" applyAlignment="1" applyProtection="1">
      <alignment horizontal="center"/>
      <protection locked="0"/>
    </xf>
    <xf numFmtId="3" fontId="1" fillId="11" borderId="60" xfId="0" applyNumberFormat="1" applyFont="1" applyFill="1" applyBorder="1" applyAlignment="1" applyProtection="1">
      <alignment horizontal="center"/>
      <protection locked="0"/>
    </xf>
    <xf numFmtId="3" fontId="1" fillId="11" borderId="61" xfId="0" applyNumberFormat="1" applyFont="1" applyFill="1" applyBorder="1" applyAlignment="1" applyProtection="1">
      <alignment horizontal="center"/>
      <protection locked="0"/>
    </xf>
    <xf numFmtId="187" fontId="1" fillId="11" borderId="58" xfId="0" applyNumberFormat="1" applyFont="1" applyFill="1" applyBorder="1" applyAlignment="1" applyProtection="1">
      <alignment horizontal="center"/>
      <protection locked="0"/>
    </xf>
    <xf numFmtId="187" fontId="1" fillId="11" borderId="62" xfId="0" applyNumberFormat="1" applyFont="1" applyFill="1" applyBorder="1" applyAlignment="1" applyProtection="1">
      <alignment horizontal="center"/>
      <protection locked="0"/>
    </xf>
    <xf numFmtId="189" fontId="1" fillId="11" borderId="58" xfId="0" applyNumberFormat="1" applyFont="1" applyFill="1" applyBorder="1" applyAlignment="1" applyProtection="1">
      <alignment horizontal="center"/>
      <protection locked="0"/>
    </xf>
    <xf numFmtId="189" fontId="1" fillId="11" borderId="62" xfId="0" applyNumberFormat="1" applyFont="1" applyFill="1" applyBorder="1" applyAlignment="1" applyProtection="1">
      <alignment horizontal="center"/>
      <protection locked="0"/>
    </xf>
    <xf numFmtId="10" fontId="1" fillId="11" borderId="58" xfId="0" applyNumberFormat="1" applyFont="1" applyFill="1" applyBorder="1" applyAlignment="1" applyProtection="1">
      <alignment horizontal="center"/>
      <protection locked="0"/>
    </xf>
    <xf numFmtId="10" fontId="1" fillId="11" borderId="62" xfId="0" applyNumberFormat="1" applyFont="1" applyFill="1" applyBorder="1" applyAlignment="1" applyProtection="1">
      <alignment horizontal="center"/>
      <protection locked="0"/>
    </xf>
    <xf numFmtId="2" fontId="1" fillId="11" borderId="63" xfId="0" applyNumberFormat="1" applyFont="1" applyFill="1" applyBorder="1" applyAlignment="1" applyProtection="1">
      <alignment horizontal="center"/>
      <protection locked="0"/>
    </xf>
    <xf numFmtId="2" fontId="1" fillId="11" borderId="64" xfId="0" applyNumberFormat="1" applyFont="1" applyFill="1" applyBorder="1" applyAlignment="1" applyProtection="1">
      <alignment horizontal="center"/>
      <protection locked="0"/>
    </xf>
    <xf numFmtId="3" fontId="1" fillId="29" borderId="60" xfId="0" applyNumberFormat="1" applyFont="1" applyFill="1" applyBorder="1" applyAlignment="1" applyProtection="1">
      <alignment horizontal="center"/>
      <protection/>
    </xf>
    <xf numFmtId="187" fontId="1" fillId="29" borderId="58" xfId="0" applyNumberFormat="1" applyFont="1" applyFill="1" applyBorder="1" applyAlignment="1" applyProtection="1">
      <alignment horizontal="center"/>
      <protection/>
    </xf>
    <xf numFmtId="189" fontId="1" fillId="29" borderId="58" xfId="0" applyNumberFormat="1" applyFont="1" applyFill="1" applyBorder="1" applyAlignment="1" applyProtection="1">
      <alignment horizontal="center"/>
      <protection/>
    </xf>
    <xf numFmtId="10" fontId="1" fillId="29" borderId="58" xfId="0" applyNumberFormat="1" applyFont="1" applyFill="1" applyBorder="1" applyAlignment="1" applyProtection="1">
      <alignment horizontal="center"/>
      <protection/>
    </xf>
    <xf numFmtId="2" fontId="1" fillId="29" borderId="63" xfId="0" applyNumberFormat="1" applyFont="1" applyFill="1" applyBorder="1" applyAlignment="1" applyProtection="1">
      <alignment horizontal="center"/>
      <protection/>
    </xf>
    <xf numFmtId="173" fontId="1" fillId="24" borderId="1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Days Related to Weight Gain</a:t>
            </a:r>
          </a:p>
        </c:rich>
      </c:tx>
      <c:layout>
        <c:manualLayout>
          <c:xMode val="factor"/>
          <c:yMode val="factor"/>
          <c:x val="0.0015"/>
          <c:y val="0"/>
        </c:manualLayout>
      </c:layout>
      <c:spPr>
        <a:noFill/>
        <a:ln>
          <a:noFill/>
        </a:ln>
      </c:spPr>
    </c:title>
    <c:plotArea>
      <c:layout>
        <c:manualLayout>
          <c:xMode val="edge"/>
          <c:yMode val="edge"/>
          <c:x val="0.055"/>
          <c:y val="0.1095"/>
          <c:w val="0.88375"/>
          <c:h val="0.7195"/>
        </c:manualLayout>
      </c:layout>
      <c:barChart>
        <c:barDir val="col"/>
        <c:grouping val="clustered"/>
        <c:varyColors val="0"/>
        <c:ser>
          <c:idx val="1"/>
          <c:order val="0"/>
          <c:tx>
            <c:v>Days of Growth</c:v>
          </c:tx>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'Production Parameters'!$J$5</c:f>
              <c:strCache>
                <c:ptCount val="1"/>
                <c:pt idx="0">
                  <c:v>Cumulative Weight Gain (g)</c:v>
                </c:pt>
              </c:strCache>
            </c:strRef>
          </c:cat>
          <c:val>
            <c:numRef>
              <c:f>'Production Parameters'!$L$7:$L$11</c:f>
              <c:numCache>
                <c:ptCount val="5"/>
                <c:pt idx="0">
                  <c:v>0</c:v>
                </c:pt>
                <c:pt idx="1">
                  <c:v>0</c:v>
                </c:pt>
                <c:pt idx="2">
                  <c:v>0</c:v>
                </c:pt>
                <c:pt idx="3">
                  <c:v>0</c:v>
                </c:pt>
                <c:pt idx="4">
                  <c:v>0</c:v>
                </c:pt>
              </c:numCache>
            </c:numRef>
          </c:val>
        </c:ser>
        <c:gapWidth val="90"/>
        <c:axId val="14658227"/>
        <c:axId val="64815180"/>
      </c:barChart>
      <c:lineChart>
        <c:grouping val="standard"/>
        <c:varyColors val="0"/>
        <c:ser>
          <c:idx val="0"/>
          <c:order val="1"/>
          <c:tx>
            <c:v>Cumulative Weight Gain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CC00"/>
              </a:solidFill>
              <a:ln>
                <a:solidFill>
                  <a:srgbClr val="993300"/>
                </a:solidFill>
              </a:ln>
            </c:spPr>
          </c:marker>
          <c:val>
            <c:numRef>
              <c:f>'Production Parameters'!$M$7:$M$11</c:f>
              <c:numCache>
                <c:ptCount val="5"/>
                <c:pt idx="0">
                  <c:v>0</c:v>
                </c:pt>
                <c:pt idx="1">
                  <c:v>0</c:v>
                </c:pt>
                <c:pt idx="2">
                  <c:v>0</c:v>
                </c:pt>
                <c:pt idx="3">
                  <c:v>0</c:v>
                </c:pt>
                <c:pt idx="4">
                  <c:v>0</c:v>
                </c:pt>
              </c:numCache>
            </c:numRef>
          </c:val>
          <c:smooth val="1"/>
        </c:ser>
        <c:axId val="46465709"/>
        <c:axId val="15538198"/>
      </c:lineChart>
      <c:catAx>
        <c:axId val="14658227"/>
        <c:scaling>
          <c:orientation val="minMax"/>
        </c:scaling>
        <c:axPos val="b"/>
        <c:delete val="1"/>
        <c:majorTickMark val="out"/>
        <c:minorTickMark val="none"/>
        <c:tickLblPos val="nextTo"/>
        <c:crossAx val="64815180"/>
        <c:crosses val="autoZero"/>
        <c:auto val="0"/>
        <c:lblOffset val="100"/>
        <c:tickLblSkip val="1"/>
        <c:noMultiLvlLbl val="0"/>
      </c:catAx>
      <c:valAx>
        <c:axId val="6481518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Days / Grams</a:t>
                </a:r>
              </a:p>
            </c:rich>
          </c:tx>
          <c:layout>
            <c:manualLayout>
              <c:xMode val="factor"/>
              <c:yMode val="factor"/>
              <c:x val="-0.003"/>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4658227"/>
        <c:crossesAt val="1"/>
        <c:crossBetween val="between"/>
        <c:dispUnits/>
      </c:valAx>
      <c:catAx>
        <c:axId val="46465709"/>
        <c:scaling>
          <c:orientation val="minMax"/>
        </c:scaling>
        <c:axPos val="b"/>
        <c:delete val="1"/>
        <c:majorTickMark val="out"/>
        <c:minorTickMark val="none"/>
        <c:tickLblPos val="nextTo"/>
        <c:crossAx val="15538198"/>
        <c:crosses val="autoZero"/>
        <c:auto val="0"/>
        <c:lblOffset val="100"/>
        <c:tickLblSkip val="1"/>
        <c:noMultiLvlLbl val="0"/>
      </c:catAx>
      <c:valAx>
        <c:axId val="15538198"/>
        <c:scaling>
          <c:orientation val="minMax"/>
        </c:scaling>
        <c:axPos val="l"/>
        <c:delete val="1"/>
        <c:majorTickMark val="out"/>
        <c:minorTickMark val="none"/>
        <c:tickLblPos val="nextTo"/>
        <c:crossAx val="46465709"/>
        <c:crossesAt val="1"/>
        <c:crossBetween val="between"/>
        <c:dispUnits/>
      </c:valAx>
      <c:spPr>
        <a:solidFill>
          <a:srgbClr val="FFFF99"/>
        </a:solidFill>
        <a:ln w="12700">
          <a:solidFill>
            <a:srgbClr val="000000"/>
          </a:solidFill>
        </a:ln>
      </c:spPr>
    </c:plotArea>
    <c:legend>
      <c:legendPos val="b"/>
      <c:layout>
        <c:manualLayout>
          <c:xMode val="edge"/>
          <c:yMode val="edge"/>
          <c:x val="0.245"/>
          <c:y val="0.869"/>
          <c:w val="0.551"/>
          <c:h val="0.095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Sea Cucumber</a:t>
            </a:r>
          </a:p>
        </c:rich>
      </c:tx>
      <c:layout>
        <c:manualLayout>
          <c:xMode val="factor"/>
          <c:yMode val="factor"/>
          <c:x val="-0.00125"/>
          <c:y val="0.0145"/>
        </c:manualLayout>
      </c:layout>
      <c:spPr>
        <a:noFill/>
        <a:ln>
          <a:noFill/>
        </a:ln>
      </c:spPr>
    </c:title>
    <c:plotArea>
      <c:layout>
        <c:manualLayout>
          <c:xMode val="edge"/>
          <c:yMode val="edge"/>
          <c:x val="0.013"/>
          <c:y val="0.1"/>
          <c:w val="0.9475"/>
          <c:h val="0.8745"/>
        </c:manualLayout>
      </c:layout>
      <c:bar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'Production Summary'!$B$5:$B$24</c:f>
              <c:strCache>
                <c:ptCount val="20"/>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strCache>
            </c:strRef>
          </c:cat>
          <c:val>
            <c:numRef>
              <c:f>'Production Summary'!$C$5:$C$24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gapWidth val="50"/>
        <c:axId val="5626055"/>
        <c:axId val="50634496"/>
      </c:barChart>
      <c:catAx>
        <c:axId val="562605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50634496"/>
        <c:crosses val="autoZero"/>
        <c:auto val="1"/>
        <c:lblOffset val="100"/>
        <c:tickLblSkip val="1"/>
        <c:noMultiLvlLbl val="0"/>
      </c:catAx>
      <c:valAx>
        <c:axId val="506344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626055"/>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Revenue</a:t>
            </a:r>
          </a:p>
        </c:rich>
      </c:tx>
      <c:layout>
        <c:manualLayout>
          <c:xMode val="factor"/>
          <c:yMode val="factor"/>
          <c:x val="0.00125"/>
          <c:y val="0"/>
        </c:manualLayout>
      </c:layout>
      <c:spPr>
        <a:noFill/>
        <a:ln>
          <a:noFill/>
        </a:ln>
      </c:spPr>
    </c:title>
    <c:plotArea>
      <c:layout>
        <c:manualLayout>
          <c:xMode val="edge"/>
          <c:yMode val="edge"/>
          <c:x val="0.011"/>
          <c:y val="0.09425"/>
          <c:w val="0.947"/>
          <c:h val="0.8245"/>
        </c:manualLayout>
      </c:layout>
      <c:barChart>
        <c:barDir val="col"/>
        <c:grouping val="clustered"/>
        <c:varyColors val="0"/>
        <c:ser>
          <c:idx val="0"/>
          <c:order val="0"/>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Revenue!$B$15:$B$18</c:f>
              <c:strCache>
                <c:ptCount val="3"/>
                <c:pt idx="0">
                  <c:v>Grade A</c:v>
                </c:pt>
                <c:pt idx="1">
                  <c:v>Grade B</c:v>
                </c:pt>
                <c:pt idx="2">
                  <c:v>Grade C</c:v>
                </c:pt>
              </c:strCache>
            </c:strRef>
          </c:cat>
          <c:val>
            <c:numRef>
              <c:f>Revenue!$H$7:$H$9</c:f>
              <c:numCache>
                <c:ptCount val="3"/>
                <c:pt idx="0">
                  <c:v>0</c:v>
                </c:pt>
                <c:pt idx="1">
                  <c:v>0</c:v>
                </c:pt>
                <c:pt idx="2">
                  <c:v>0</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Revenue!$B$15:$B$18</c:f>
              <c:strCache>
                <c:ptCount val="3"/>
                <c:pt idx="0">
                  <c:v>Grade A</c:v>
                </c:pt>
                <c:pt idx="1">
                  <c:v>Grade B</c:v>
                </c:pt>
                <c:pt idx="2">
                  <c:v>Grade C</c:v>
                </c:pt>
              </c:strCache>
            </c:strRef>
          </c:cat>
          <c:val>
            <c:numRef>
              <c:f>Revenue!$B$15:$B$17</c:f>
              <c:numCache>
                <c:ptCount val="3"/>
                <c:pt idx="0">
                  <c:v>0</c:v>
                </c:pt>
                <c:pt idx="1">
                  <c:v>0</c:v>
                </c:pt>
                <c:pt idx="2">
                  <c:v>0</c:v>
                </c:pt>
              </c:numCache>
            </c:numRef>
          </c:val>
        </c:ser>
        <c:ser>
          <c:idx val="2"/>
          <c:order val="2"/>
          <c:spPr>
            <a:solidFill>
              <a:srgbClr val="FF66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Revenue!$B$15:$B$18</c:f>
              <c:strCache>
                <c:ptCount val="3"/>
                <c:pt idx="0">
                  <c:v>Grade A</c:v>
                </c:pt>
                <c:pt idx="1">
                  <c:v>Grade B</c:v>
                </c:pt>
                <c:pt idx="2">
                  <c:v>Grade C</c:v>
                </c:pt>
              </c:strCache>
            </c:strRef>
          </c:cat>
          <c:val>
            <c:numRef>
              <c:f>Revenue!$H$15:$H$17</c:f>
              <c:numCache>
                <c:ptCount val="3"/>
                <c:pt idx="0">
                  <c:v>0</c:v>
                </c:pt>
                <c:pt idx="1">
                  <c:v>0</c:v>
                </c:pt>
                <c:pt idx="2">
                  <c:v>0</c:v>
                </c:pt>
              </c:numCache>
            </c:numRef>
          </c:val>
        </c:ser>
        <c:axId val="53057281"/>
        <c:axId val="7753482"/>
      </c:barChart>
      <c:catAx>
        <c:axId val="530572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7753482"/>
        <c:crosses val="autoZero"/>
        <c:auto val="1"/>
        <c:lblOffset val="100"/>
        <c:tickLblSkip val="1"/>
        <c:noMultiLvlLbl val="0"/>
      </c:catAx>
      <c:valAx>
        <c:axId val="7753482"/>
        <c:scaling>
          <c:orientation val="minMax"/>
        </c:scaling>
        <c:axPos val="l"/>
        <c:delete val="0"/>
        <c:numFmt formatCode="[$VND]\ #,##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3057281"/>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Costs per Kilogram</a:t>
            </a:r>
          </a:p>
        </c:rich>
      </c:tx>
      <c:layout>
        <c:manualLayout>
          <c:xMode val="factor"/>
          <c:yMode val="factor"/>
          <c:x val="0"/>
          <c:y val="0"/>
        </c:manualLayout>
      </c:layout>
      <c:spPr>
        <a:noFill/>
        <a:ln>
          <a:noFill/>
        </a:ln>
      </c:spPr>
    </c:title>
    <c:plotArea>
      <c:layout>
        <c:manualLayout>
          <c:xMode val="edge"/>
          <c:yMode val="edge"/>
          <c:x val="0.00725"/>
          <c:y val="0.10525"/>
          <c:w val="0.984"/>
          <c:h val="0.777"/>
        </c:manualLayout>
      </c:layout>
      <c:barChart>
        <c:barDir val="bar"/>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quot;$&quot;#,##0.00;[Red]\-&quot;$&quot;#,##0.0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DCF!$A$36:$A$41</c:f>
              <c:strCache>
                <c:ptCount val="6"/>
                <c:pt idx="0">
                  <c:v>Labour</c:v>
                </c:pt>
                <c:pt idx="1">
                  <c:v>Process/Pack</c:v>
                </c:pt>
                <c:pt idx="2">
                  <c:v>Electricity</c:v>
                </c:pt>
                <c:pt idx="3">
                  <c:v>F.O.R.M.</c:v>
                </c:pt>
                <c:pt idx="4">
                  <c:v>Operating</c:v>
                </c:pt>
                <c:pt idx="5">
                  <c:v>Capital</c:v>
                </c:pt>
              </c:strCache>
            </c:strRef>
          </c:cat>
          <c:val>
            <c:numRef>
              <c:f>DCF!$C$36:$C$41</c:f>
              <c:numCache>
                <c:ptCount val="6"/>
                <c:pt idx="0">
                  <c:v>9.571880000770367</c:v>
                </c:pt>
                <c:pt idx="1">
                  <c:v>0.8999999999999998</c:v>
                </c:pt>
                <c:pt idx="2">
                  <c:v>0</c:v>
                </c:pt>
                <c:pt idx="3">
                  <c:v>0.3278041096154235</c:v>
                </c:pt>
                <c:pt idx="4">
                  <c:v>0.7408372877308571</c:v>
                </c:pt>
                <c:pt idx="5">
                  <c:v>1.6211588468152605</c:v>
                </c:pt>
              </c:numCache>
            </c:numRef>
          </c:val>
        </c:ser>
        <c:gapWidth val="40"/>
        <c:axId val="2672475"/>
        <c:axId val="24052276"/>
      </c:barChart>
      <c:catAx>
        <c:axId val="26724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4052276"/>
        <c:crosses val="autoZero"/>
        <c:auto val="1"/>
        <c:lblOffset val="100"/>
        <c:tickLblSkip val="1"/>
        <c:noMultiLvlLbl val="0"/>
      </c:catAx>
      <c:valAx>
        <c:axId val="24052276"/>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Cost per kilogram</a:t>
                </a:r>
              </a:p>
            </c:rich>
          </c:tx>
          <c:layout>
            <c:manualLayout>
              <c:xMode val="factor"/>
              <c:yMode val="factor"/>
              <c:x val="0"/>
              <c:y val="0"/>
            </c:manualLayout>
          </c:layout>
          <c:overlay val="0"/>
          <c:spPr>
            <a:noFill/>
            <a:ln>
              <a:noFill/>
            </a:ln>
          </c:spPr>
        </c:title>
        <c:delete val="0"/>
        <c:numFmt formatCode="&quot;$&quot;#,##0.00;[Red]\-&quot;$&quot;#,##0.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672475"/>
        <c:crossesAt val="1"/>
        <c:crossBetween val="between"/>
        <c:dispUnits/>
      </c:valAx>
      <c:spPr>
        <a:solidFill>
          <a:srgbClr val="FFFF99"/>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Discounted Cumulative Cashflow</a:t>
            </a:r>
          </a:p>
        </c:rich>
      </c:tx>
      <c:layout>
        <c:manualLayout>
          <c:xMode val="factor"/>
          <c:yMode val="factor"/>
          <c:x val="-0.00175"/>
          <c:y val="0"/>
        </c:manualLayout>
      </c:layout>
      <c:spPr>
        <a:noFill/>
        <a:ln>
          <a:noFill/>
        </a:ln>
      </c:spPr>
    </c:title>
    <c:plotArea>
      <c:layout>
        <c:manualLayout>
          <c:xMode val="edge"/>
          <c:yMode val="edge"/>
          <c:x val="0.011"/>
          <c:y val="0.08325"/>
          <c:w val="0.9605"/>
          <c:h val="0.84525"/>
        </c:manualLayout>
      </c:layout>
      <c:barChart>
        <c:barDir val="col"/>
        <c:grouping val="clustered"/>
        <c:varyColors val="0"/>
        <c:ser>
          <c:idx val="1"/>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DCF!$A$6:$A$26</c:f>
              <c:num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DCF!$N$6:$N$26</c:f>
              <c:numCache>
                <c:ptCount val="21"/>
                <c:pt idx="0">
                  <c:v>-11588</c:v>
                </c:pt>
                <c:pt idx="1">
                  <c:v>-26899.32075471698</c:v>
                </c:pt>
                <c:pt idx="2">
                  <c:v>12152.566037735829</c:v>
                </c:pt>
                <c:pt idx="3">
                  <c:v>45205.606467083526</c:v>
                </c:pt>
                <c:pt idx="4">
                  <c:v>79961.64668820564</c:v>
                </c:pt>
                <c:pt idx="5">
                  <c:v>112786.23227024105</c:v>
                </c:pt>
                <c:pt idx="6">
                  <c:v>140405.669795965</c:v>
                </c:pt>
                <c:pt idx="7">
                  <c:v>169712.54210482637</c:v>
                </c:pt>
                <c:pt idx="8">
                  <c:v>197242.58132322296</c:v>
                </c:pt>
                <c:pt idx="9">
                  <c:v>220543.67056747037</c:v>
                </c:pt>
                <c:pt idx="10">
                  <c:v>244766.11007683817</c:v>
                </c:pt>
                <c:pt idx="11">
                  <c:v>267979.8979220131</c:v>
                </c:pt>
                <c:pt idx="12">
                  <c:v>287450.5115267873</c:v>
                </c:pt>
                <c:pt idx="13">
                  <c:v>308110.70006823883</c:v>
                </c:pt>
                <c:pt idx="14">
                  <c:v>327518.2913939652</c:v>
                </c:pt>
                <c:pt idx="15">
                  <c:v>343677.59022155224</c:v>
                </c:pt>
                <c:pt idx="16">
                  <c:v>360950.2774106999</c:v>
                </c:pt>
                <c:pt idx="17">
                  <c:v>377315.0818356864</c:v>
                </c:pt>
                <c:pt idx="18">
                  <c:v>391041.09612520016</c:v>
                </c:pt>
                <c:pt idx="19">
                  <c:v>405605.7138049674</c:v>
                </c:pt>
                <c:pt idx="20">
                  <c:v>420195.587044003</c:v>
                </c:pt>
              </c:numCache>
            </c:numRef>
          </c:val>
        </c:ser>
        <c:gapWidth val="50"/>
        <c:axId val="15143893"/>
        <c:axId val="2077310"/>
      </c:barChart>
      <c:catAx>
        <c:axId val="1514389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Years</a:t>
                </a:r>
              </a:p>
            </c:rich>
          </c:tx>
          <c:layout>
            <c:manualLayout>
              <c:xMode val="factor"/>
              <c:yMode val="factor"/>
              <c:x val="0"/>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2077310"/>
        <c:crosses val="autoZero"/>
        <c:auto val="1"/>
        <c:lblOffset val="100"/>
        <c:tickLblSkip val="1"/>
        <c:noMultiLvlLbl val="0"/>
      </c:catAx>
      <c:valAx>
        <c:axId val="2077310"/>
        <c:scaling>
          <c:orientation val="minMax"/>
        </c:scaling>
        <c:axPos val="l"/>
        <c:delete val="0"/>
        <c:numFmt formatCode="&quot;$&quot;#,##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5143893"/>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Probability Distribution</a:t>
            </a:r>
          </a:p>
        </c:rich>
      </c:tx>
      <c:layout>
        <c:manualLayout>
          <c:xMode val="factor"/>
          <c:yMode val="factor"/>
          <c:x val="0.00175"/>
          <c:y val="0"/>
        </c:manualLayout>
      </c:layout>
      <c:spPr>
        <a:noFill/>
        <a:ln>
          <a:noFill/>
        </a:ln>
      </c:spPr>
    </c:title>
    <c:plotArea>
      <c:layout>
        <c:manualLayout>
          <c:xMode val="edge"/>
          <c:yMode val="edge"/>
          <c:x val="0.03325"/>
          <c:y val="0.07875"/>
          <c:w val="0.9655"/>
          <c:h val="0.81825"/>
        </c:manualLayout>
      </c:layout>
      <c:scatterChart>
        <c:scatterStyle val="smoothMarker"/>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Simulation!$E$9:$E$109</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Simulation!$D$9:$D$109</c:f>
              <c:numCache>
                <c:ptCount val="1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numCache>
            </c:numRef>
          </c:yVal>
          <c:smooth val="1"/>
        </c:ser>
        <c:axId val="18695791"/>
        <c:axId val="34044392"/>
      </c:scatterChart>
      <c:valAx>
        <c:axId val="1869579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Annual Return</a:t>
                </a:r>
              </a:p>
            </c:rich>
          </c:tx>
          <c:layout>
            <c:manualLayout>
              <c:xMode val="factor"/>
              <c:yMode val="factor"/>
              <c:x val="0"/>
              <c:y val="0.0005"/>
            </c:manualLayout>
          </c:layout>
          <c:overlay val="0"/>
          <c:spPr>
            <a:noFill/>
            <a:ln>
              <a:noFill/>
            </a:ln>
          </c:spPr>
        </c:title>
        <c:delete val="0"/>
        <c:numFmt formatCode="&quot;$&quot;#,##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4044392"/>
        <c:crosses val="autoZero"/>
        <c:crossBetween val="midCat"/>
        <c:dispUnits/>
      </c:valAx>
      <c:valAx>
        <c:axId val="34044392"/>
        <c:scaling>
          <c:orientation val="minMax"/>
          <c:max val="1"/>
        </c:scaling>
        <c:axPos val="l"/>
        <c:title>
          <c:tx>
            <c:rich>
              <a:bodyPr vert="horz" rot="-5400000" anchor="ctr"/>
              <a:lstStyle/>
              <a:p>
                <a:pPr algn="ctr">
                  <a:defRPr/>
                </a:pPr>
                <a:r>
                  <a:rPr lang="en-US" cap="none" sz="1100" b="1" i="0" u="none" baseline="0">
                    <a:solidFill>
                      <a:srgbClr val="000000"/>
                    </a:solidFill>
                    <a:latin typeface="Arial"/>
                    <a:ea typeface="Arial"/>
                    <a:cs typeface="Arial"/>
                  </a:rPr>
                  <a:t>Cumulative Probability</a:t>
                </a:r>
              </a:p>
            </c:rich>
          </c:tx>
          <c:layout>
            <c:manualLayout>
              <c:xMode val="factor"/>
              <c:yMode val="factor"/>
              <c:x val="-0.002"/>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8695791"/>
        <c:crosses val="autoZero"/>
        <c:crossBetween val="midCat"/>
        <c:dispUnits/>
        <c:majorUnit val="0.1"/>
        <c:minorUnit val="0.01"/>
      </c:valAx>
      <c:spPr>
        <a:solidFill>
          <a:srgbClr val="FFFF99"/>
        </a:solidFill>
        <a:ln w="12700">
          <a:solidFill>
            <a:srgbClr val="33333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19050</xdr:rowOff>
    </xdr:from>
    <xdr:to>
      <xdr:col>10</xdr:col>
      <xdr:colOff>419100</xdr:colOff>
      <xdr:row>20</xdr:row>
      <xdr:rowOff>66675</xdr:rowOff>
    </xdr:to>
    <xdr:sp>
      <xdr:nvSpPr>
        <xdr:cNvPr id="1" name="Text Box 6"/>
        <xdr:cNvSpPr txBox="1">
          <a:spLocks noChangeArrowheads="1"/>
        </xdr:cNvSpPr>
      </xdr:nvSpPr>
      <xdr:spPr>
        <a:xfrm>
          <a:off x="104775" y="1038225"/>
          <a:ext cx="7248525" cy="2809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0</xdr:row>
      <xdr:rowOff>76200</xdr:rowOff>
    </xdr:from>
    <xdr:to>
      <xdr:col>10</xdr:col>
      <xdr:colOff>457200</xdr:colOff>
      <xdr:row>5</xdr:row>
      <xdr:rowOff>66675</xdr:rowOff>
    </xdr:to>
    <xdr:sp>
      <xdr:nvSpPr>
        <xdr:cNvPr id="2" name="WordArt 7"/>
        <xdr:cNvSpPr>
          <a:spLocks/>
        </xdr:cNvSpPr>
      </xdr:nvSpPr>
      <xdr:spPr>
        <a:xfrm>
          <a:off x="123825" y="76200"/>
          <a:ext cx="7267575" cy="857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993300"/>
                  </a:gs>
                  <a:gs pos="100000">
                    <a:srgbClr val="FFCC99"/>
                  </a:gs>
                </a:gsLst>
                <a:lin ang="5400000" scaled="1"/>
              </a:gradFill>
              <a:effectLst>
                <a:outerShdw dist="35921" dir="2700000" algn="ctr">
                  <a:srgbClr val="C0C0C0">
                    <a:alpha val="100000"/>
                  </a:srgbClr>
                </a:outerShdw>
              </a:effectLst>
              <a:latin typeface="Impact"/>
              <a:cs typeface="Impact"/>
            </a:rPr>
            <a:t>Sandfish - Pond Culture
</a:t>
          </a:r>
        </a:p>
      </xdr:txBody>
    </xdr:sp>
    <xdr:clientData/>
  </xdr:twoCellAnchor>
  <xdr:twoCellAnchor editAs="oneCell">
    <xdr:from>
      <xdr:col>7</xdr:col>
      <xdr:colOff>571500</xdr:colOff>
      <xdr:row>9</xdr:row>
      <xdr:rowOff>152400</xdr:rowOff>
    </xdr:from>
    <xdr:to>
      <xdr:col>9</xdr:col>
      <xdr:colOff>561975</xdr:colOff>
      <xdr:row>18</xdr:row>
      <xdr:rowOff>142875</xdr:rowOff>
    </xdr:to>
    <xdr:pic>
      <xdr:nvPicPr>
        <xdr:cNvPr id="3" name="Picture 8" descr="centred"/>
        <xdr:cNvPicPr preferRelativeResize="1">
          <a:picLocks noChangeAspect="1"/>
        </xdr:cNvPicPr>
      </xdr:nvPicPr>
      <xdr:blipFill>
        <a:blip r:embed="rId1"/>
        <a:stretch>
          <a:fillRect/>
        </a:stretch>
      </xdr:blipFill>
      <xdr:spPr>
        <a:xfrm>
          <a:off x="5381625" y="1800225"/>
          <a:ext cx="1504950" cy="1790700"/>
        </a:xfrm>
        <a:prstGeom prst="rect">
          <a:avLst/>
        </a:prstGeom>
        <a:noFill/>
        <a:ln w="9525" cmpd="sng">
          <a:noFill/>
        </a:ln>
      </xdr:spPr>
    </xdr:pic>
    <xdr:clientData/>
  </xdr:twoCellAnchor>
  <xdr:twoCellAnchor editAs="oneCell">
    <xdr:from>
      <xdr:col>3</xdr:col>
      <xdr:colOff>495300</xdr:colOff>
      <xdr:row>7</xdr:row>
      <xdr:rowOff>28575</xdr:rowOff>
    </xdr:from>
    <xdr:to>
      <xdr:col>7</xdr:col>
      <xdr:colOff>447675</xdr:colOff>
      <xdr:row>18</xdr:row>
      <xdr:rowOff>28575</xdr:rowOff>
    </xdr:to>
    <xdr:pic>
      <xdr:nvPicPr>
        <xdr:cNvPr id="4" name="Picture 5" descr="slugs"/>
        <xdr:cNvPicPr preferRelativeResize="1">
          <a:picLocks noChangeAspect="1"/>
        </xdr:cNvPicPr>
      </xdr:nvPicPr>
      <xdr:blipFill>
        <a:blip r:embed="rId2"/>
        <a:stretch>
          <a:fillRect/>
        </a:stretch>
      </xdr:blipFill>
      <xdr:spPr>
        <a:xfrm>
          <a:off x="2324100" y="1276350"/>
          <a:ext cx="2933700" cy="2200275"/>
        </a:xfrm>
        <a:prstGeom prst="rect">
          <a:avLst/>
        </a:prstGeom>
        <a:noFill/>
        <a:ln w="9525" cmpd="sng">
          <a:solidFill>
            <a:srgbClr val="000000"/>
          </a:solidFill>
          <a:headEnd type="none"/>
          <a:tailEnd type="none"/>
        </a:ln>
      </xdr:spPr>
    </xdr:pic>
    <xdr:clientData/>
  </xdr:twoCellAnchor>
  <xdr:twoCellAnchor>
    <xdr:from>
      <xdr:col>1</xdr:col>
      <xdr:colOff>219075</xdr:colOff>
      <xdr:row>18</xdr:row>
      <xdr:rowOff>123825</xdr:rowOff>
    </xdr:from>
    <xdr:to>
      <xdr:col>9</xdr:col>
      <xdr:colOff>476250</xdr:colOff>
      <xdr:row>20</xdr:row>
      <xdr:rowOff>38100</xdr:rowOff>
    </xdr:to>
    <xdr:sp>
      <xdr:nvSpPr>
        <xdr:cNvPr id="5" name="Text Box 9"/>
        <xdr:cNvSpPr txBox="1">
          <a:spLocks noChangeArrowheads="1"/>
        </xdr:cNvSpPr>
      </xdr:nvSpPr>
      <xdr:spPr>
        <a:xfrm>
          <a:off x="828675" y="3571875"/>
          <a:ext cx="5972175" cy="276225"/>
        </a:xfrm>
        <a:prstGeom prst="rect">
          <a:avLst/>
        </a:prstGeom>
        <a:noFill/>
        <a:ln w="9525" cmpd="sng">
          <a:noFill/>
        </a:ln>
      </xdr:spPr>
      <xdr:txBody>
        <a:bodyPr vertOverflow="clip" wrap="square" lIns="36576" tIns="41148" rIns="36576" bIns="0"/>
        <a:p>
          <a:pPr algn="ctr">
            <a:defRPr/>
          </a:pPr>
          <a:r>
            <a:rPr lang="en-US" cap="none" sz="1200" b="1" i="0" u="none" baseline="0">
              <a:solidFill>
                <a:srgbClr val="000000"/>
              </a:solidFill>
              <a:latin typeface="Arial"/>
              <a:ea typeface="Arial"/>
              <a:cs typeface="Arial"/>
            </a:rPr>
            <a:t>Developed by Bill Johnston</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0</xdr:col>
      <xdr:colOff>257175</xdr:colOff>
      <xdr:row>12</xdr:row>
      <xdr:rowOff>0</xdr:rowOff>
    </xdr:from>
    <xdr:to>
      <xdr:col>3</xdr:col>
      <xdr:colOff>314325</xdr:colOff>
      <xdr:row>17</xdr:row>
      <xdr:rowOff>47625</xdr:rowOff>
    </xdr:to>
    <xdr:pic>
      <xdr:nvPicPr>
        <xdr:cNvPr id="6" name="Picture 11" descr="logoworldfish"/>
        <xdr:cNvPicPr preferRelativeResize="1">
          <a:picLocks noChangeAspect="1"/>
        </xdr:cNvPicPr>
      </xdr:nvPicPr>
      <xdr:blipFill>
        <a:blip r:embed="rId3"/>
        <a:stretch>
          <a:fillRect/>
        </a:stretch>
      </xdr:blipFill>
      <xdr:spPr>
        <a:xfrm>
          <a:off x="257175" y="2247900"/>
          <a:ext cx="1885950" cy="1047750"/>
        </a:xfrm>
        <a:prstGeom prst="rect">
          <a:avLst/>
        </a:prstGeom>
        <a:noFill/>
        <a:ln w="9525" cmpd="sng">
          <a:noFill/>
        </a:ln>
      </xdr:spPr>
    </xdr:pic>
    <xdr:clientData/>
  </xdr:twoCellAnchor>
  <xdr:twoCellAnchor>
    <xdr:from>
      <xdr:col>0</xdr:col>
      <xdr:colOff>114300</xdr:colOff>
      <xdr:row>20</xdr:row>
      <xdr:rowOff>180975</xdr:rowOff>
    </xdr:from>
    <xdr:to>
      <xdr:col>10</xdr:col>
      <xdr:colOff>419100</xdr:colOff>
      <xdr:row>67</xdr:row>
      <xdr:rowOff>9525</xdr:rowOff>
    </xdr:to>
    <xdr:sp>
      <xdr:nvSpPr>
        <xdr:cNvPr id="7" name="TextBox 118"/>
        <xdr:cNvSpPr txBox="1">
          <a:spLocks noChangeArrowheads="1"/>
        </xdr:cNvSpPr>
      </xdr:nvSpPr>
      <xdr:spPr>
        <a:xfrm>
          <a:off x="114300" y="3990975"/>
          <a:ext cx="7239000" cy="751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This farm models is provided to allow you to evaluate the economics of sandfish farming, using your own input parameters.
The model covers pond-based systems and is based upon the cost-benefit analysis technique. Cost-benefit analysis is a conceptual framework for the economic evaluation of projects, in this case, sandfish aquaculture projects. This approach differs from financial appraisal in that it considers all gains and losses. The basic premise of cost-benefit analysis is to assist you to make a decision in regard to the allocation of resources. In particular, this model helps you to make decisions about whether or not to invest in sandfish aquaculture. 
Existing farmers can also use the model. Once the data is entered into the model a farmer can use the computer version of his farm to determine the impact of different management decisions. For example, the farmer may wish to know how a change in length of production will effect his bottom line (profit).
The model is easy to operate. It is simply a matter of entering data into the input cells of the model you have selected. It is better to be as accurate as possible with data entry in order to get the best possible results. The model farm is split sections that, amongst others, cover:
1. The physical description of the farm - pond descriptions and requirements. 
2. Production scenario, including method of farming, growth rates, stocking density, survival rates and so forth.
3. Marketing of the product, including processing, packaging and freight: The marketing form provides 2 options for the processing of your product. You can sell the sandfish fish chilled wet or dried. 
4. Labour requirements for the farm operation: In the model categories are provided for casual labour, permanent labour and farm management. A labour component for the owner/manager of the business is provided and should be filled out to include the value of thier input or drawings from the business.
5. Additional operating expenses that includes fuel, oil, repairs, maintenance and insurances: This data entry form covers the remainder of the operating expenses for the farm and should be entered as an annual cost for the farm.
6. Revenues: The price you expect for your sandfish given the grade.
7. The capital expenditure section provides for the summary of the capital required to establish the farm and allows you to allocate future revenues to the replacement of capital items: This data entry form requires a little time to complete, but is important if you want an accurate reflection of your farm. Enter all data as accurately possible and remember that the maximum life for any item on the farm can not exceed 20 years as it represents the full life of the project. The salvage value can exceed 100% in cases such as the appreciation of land.
Once all the data is entered into the model you can view the summary statistics for the farm. All the statistics used are explained in the model itself. Basically, the farm is run over a 20-year period. The output includes the expected annual returns, when the farm is paid off and the interest rate at which you can borrow funds to invest in the project. The summary statistics will also provide a break down of costs on a per kilogram basis. All the sheets contained in the model are labelled for easy reference and there are buttons in the menu for easy movement between sections. 
</a:t>
          </a:r>
          <a:r>
            <a:rPr lang="en-US" cap="none" sz="1100" b="1" i="0" u="sng" baseline="0">
              <a:latin typeface="Arial"/>
              <a:ea typeface="Arial"/>
              <a:cs typeface="Arial"/>
            </a:rPr>
            <a:t>Cell Views
</a:t>
          </a:r>
          <a:r>
            <a:rPr lang="en-US" cap="none" sz="1100" b="0" i="0" u="none" baseline="0">
              <a:latin typeface="Arial"/>
              <a:ea typeface="Arial"/>
              <a:cs typeface="Arial"/>
            </a:rPr>
            <a:t>
Data Entry Cell - yellow
Formula Cell - red (protected)</a:t>
          </a:r>
        </a:p>
      </xdr:txBody>
    </xdr:sp>
    <xdr:clientData/>
  </xdr:twoCellAnchor>
  <xdr:twoCellAnchor>
    <xdr:from>
      <xdr:col>3</xdr:col>
      <xdr:colOff>371475</xdr:colOff>
      <xdr:row>63</xdr:row>
      <xdr:rowOff>0</xdr:rowOff>
    </xdr:from>
    <xdr:to>
      <xdr:col>4</xdr:col>
      <xdr:colOff>485775</xdr:colOff>
      <xdr:row>63</xdr:row>
      <xdr:rowOff>142875</xdr:rowOff>
    </xdr:to>
    <xdr:sp>
      <xdr:nvSpPr>
        <xdr:cNvPr id="8" name="Rectangle 119"/>
        <xdr:cNvSpPr>
          <a:spLocks/>
        </xdr:cNvSpPr>
      </xdr:nvSpPr>
      <xdr:spPr>
        <a:xfrm>
          <a:off x="2200275" y="10848975"/>
          <a:ext cx="723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64</xdr:row>
      <xdr:rowOff>95250</xdr:rowOff>
    </xdr:from>
    <xdr:to>
      <xdr:col>4</xdr:col>
      <xdr:colOff>485775</xdr:colOff>
      <xdr:row>65</xdr:row>
      <xdr:rowOff>85725</xdr:rowOff>
    </xdr:to>
    <xdr:sp>
      <xdr:nvSpPr>
        <xdr:cNvPr id="9" name="Rectangle 120"/>
        <xdr:cNvSpPr>
          <a:spLocks/>
        </xdr:cNvSpPr>
      </xdr:nvSpPr>
      <xdr:spPr>
        <a:xfrm>
          <a:off x="2200275" y="11106150"/>
          <a:ext cx="723900" cy="152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17</xdr:col>
      <xdr:colOff>19050</xdr:colOff>
      <xdr:row>24</xdr:row>
      <xdr:rowOff>114300</xdr:rowOff>
    </xdr:to>
    <xdr:graphicFrame>
      <xdr:nvGraphicFramePr>
        <xdr:cNvPr id="1" name="Chart 1"/>
        <xdr:cNvGraphicFramePr/>
      </xdr:nvGraphicFramePr>
      <xdr:xfrm>
        <a:off x="104775" y="76200"/>
        <a:ext cx="10277475" cy="3924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25</xdr:row>
      <xdr:rowOff>28575</xdr:rowOff>
    </xdr:from>
    <xdr:to>
      <xdr:col>17</xdr:col>
      <xdr:colOff>9525</xdr:colOff>
      <xdr:row>49</xdr:row>
      <xdr:rowOff>0</xdr:rowOff>
    </xdr:to>
    <xdr:graphicFrame>
      <xdr:nvGraphicFramePr>
        <xdr:cNvPr id="2" name="Chart 2"/>
        <xdr:cNvGraphicFramePr/>
      </xdr:nvGraphicFramePr>
      <xdr:xfrm>
        <a:off x="114300" y="4076700"/>
        <a:ext cx="10258425" cy="38576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66675</xdr:rowOff>
    </xdr:from>
    <xdr:to>
      <xdr:col>10</xdr:col>
      <xdr:colOff>466725</xdr:colOff>
      <xdr:row>47</xdr:row>
      <xdr:rowOff>76200</xdr:rowOff>
    </xdr:to>
    <xdr:graphicFrame>
      <xdr:nvGraphicFramePr>
        <xdr:cNvPr id="1" name="Chart 1"/>
        <xdr:cNvGraphicFramePr/>
      </xdr:nvGraphicFramePr>
      <xdr:xfrm>
        <a:off x="66675" y="5143500"/>
        <a:ext cx="11096625" cy="3352800"/>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6</xdr:row>
      <xdr:rowOff>28575</xdr:rowOff>
    </xdr:from>
    <xdr:to>
      <xdr:col>21</xdr:col>
      <xdr:colOff>190500</xdr:colOff>
      <xdr:row>46</xdr:row>
      <xdr:rowOff>133350</xdr:rowOff>
    </xdr:to>
    <xdr:sp>
      <xdr:nvSpPr>
        <xdr:cNvPr id="2" name="TextBox 22"/>
        <xdr:cNvSpPr txBox="1">
          <a:spLocks noChangeArrowheads="1"/>
        </xdr:cNvSpPr>
      </xdr:nvSpPr>
      <xdr:spPr>
        <a:xfrm>
          <a:off x="11382375" y="1285875"/>
          <a:ext cx="6210300" cy="710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Risk Analysis</a:t>
          </a:r>
          <a:r>
            <a:rPr lang="en-US" cap="none" sz="1100" b="1" i="0" u="none" baseline="0">
              <a:latin typeface="Arial"/>
              <a:ea typeface="Arial"/>
              <a:cs typeface="Arial"/>
            </a:rPr>
            <a:t>
</a:t>
          </a:r>
          <a:r>
            <a:rPr lang="en-US" cap="none" sz="1100" b="0" i="0" u="none" baseline="0">
              <a:latin typeface="Arial"/>
              <a:ea typeface="Arial"/>
              <a:cs typeface="Arial"/>
            </a:rPr>
            <a:t>
Risk and uncertainty are features of most business and government activities and needs to be understood to ensure rational investment decisions. The process involves:
1. Defining your model – modelling business operations;
2. Define our uncertain variables – price and yield;
3. Assign probability distributions for each of our uncertain variables – allocating probabilities to our categories of minimum, poor, average, good and maximum;
4. Run the simulation and analyse the results – for our risk analysis we have displayed the results using a cumulative probability distribution.
The best way to demonstrate how we input information for the risk analysis and interpret the results is with an example. Consider the 'saucy sandfish' farm: we need to first specify the likelihood of various risk factors affecting production (or yield).  
</a:t>
          </a:r>
          <a:r>
            <a:rPr lang="en-US" cap="none" sz="1100" b="0" i="0" u="sng" baseline="0">
              <a:latin typeface="Arial"/>
              <a:ea typeface="Arial"/>
              <a:cs typeface="Arial"/>
            </a:rPr>
            <a:t>Identified Risks</a:t>
          </a:r>
          <a:r>
            <a:rPr lang="en-US" cap="none" sz="1100" b="0" i="0" u="none" baseline="0">
              <a:latin typeface="Arial"/>
              <a:ea typeface="Arial"/>
              <a:cs typeface="Arial"/>
            </a:rPr>
            <a:t>
Zero to Poor                Cyclone, severe disease and flood                       1 in 10 years 0.1 (or 10%) 
Poor to Average          Theft, some disease, lack of stock supplies          2 in 10 years 0.2 (or 20%) 
Average to Good        Good conditions, minimal disease, good feed        4 in 10 years 0.4 (or 40%) 
Good to Maximum        Excellent growing conditions, no disease             3 in 10 years 0.3 (or 30%) 
In the actual table under production these estimates will be entered cumulatively. That is, the first after the minimum will be 0.1, followed by 0.3 (0.1 + 0.2), followed by 0.7 (0.1 + 0.2 + 0.4) and so on .The user then enters the expected production (stems). We do not need to enter the minimum or the maximum probabilities, nor their associated production.
The same process is followed for the price risk, except that the minimum and maximum prices have not been set for you (they are in yellow). The minimum price may not be zero; it may be a subsidised price set by the government or an historical market low. Once all the data are entered we can run the simulation. Once the simulation has run its course we will have produced a set of results that is graphically shown as a cumulative probability distribution. This graph (left) shows the entire range of outcomes possible, given our inputs, for the enterprise. 
The annual return is represented along the x-axis and the probabilities on the y-axis. Where the cumulative probability curve crosses the $0 return point can be interpreted as meaning that an X% exists chance of making an annual return of less than $0 (making a loss for the year). Alternatively, a line drawn vertically from any point on the horizontal axis can a chance of earning less than relative probability expressed as a %. For instance we draw a line from say $100,000 up to the curve - it equates to 0.3, that means there is a 30% chance of making less than $100,000 or 3 in 10 years.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9</xdr:col>
      <xdr:colOff>361950</xdr:colOff>
      <xdr:row>13</xdr:row>
      <xdr:rowOff>142875</xdr:rowOff>
    </xdr:to>
    <xdr:sp>
      <xdr:nvSpPr>
        <xdr:cNvPr id="1" name="Text Box 1"/>
        <xdr:cNvSpPr txBox="1">
          <a:spLocks noChangeArrowheads="1"/>
        </xdr:cNvSpPr>
      </xdr:nvSpPr>
      <xdr:spPr>
        <a:xfrm>
          <a:off x="0" y="66675"/>
          <a:ext cx="5800725" cy="2486025"/>
        </a:xfrm>
        <a:prstGeom prst="rect">
          <a:avLst/>
        </a:prstGeom>
        <a:noFill/>
        <a:ln w="9525" cmpd="sng">
          <a:noFill/>
        </a:ln>
      </xdr:spPr>
      <xdr:txBody>
        <a:bodyPr vertOverflow="clip" wrap="square" lIns="45720" tIns="36576" rIns="45720" bIns="36576" anchor="ctr"/>
        <a:p>
          <a:pPr algn="ctr">
            <a:defRPr/>
          </a:pPr>
          <a:r>
            <a:rPr lang="en-US" cap="none" sz="1800" b="1" i="0" u="none" baseline="0">
              <a:solidFill>
                <a:srgbClr val="800000"/>
              </a:solidFill>
              <a:latin typeface="Arial"/>
              <a:ea typeface="Arial"/>
              <a:cs typeface="Arial"/>
            </a:rPr>
            <a:t>Risk Simulation in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0" i="0" u="none" baseline="0">
              <a:solidFill>
                <a:srgbClr val="0000FF"/>
              </a:solidFill>
              <a:latin typeface="Arial"/>
              <a:ea typeface="Arial"/>
              <a:cs typeface="Arial"/>
            </a:rPr>
            <a:t>Please Wait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28575</xdr:rowOff>
    </xdr:from>
    <xdr:to>
      <xdr:col>9</xdr:col>
      <xdr:colOff>600075</xdr:colOff>
      <xdr:row>18</xdr:row>
      <xdr:rowOff>19050</xdr:rowOff>
    </xdr:to>
    <xdr:sp>
      <xdr:nvSpPr>
        <xdr:cNvPr id="1" name="TextBox 1"/>
        <xdr:cNvSpPr txBox="1">
          <a:spLocks noChangeArrowheads="1"/>
        </xdr:cNvSpPr>
      </xdr:nvSpPr>
      <xdr:spPr>
        <a:xfrm>
          <a:off x="7829550" y="2105025"/>
          <a:ext cx="3400425" cy="7429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Dependent of whether you include a nursery phase the purchase size of juveniles will vary - consider the appropriate size and associated price of juveniles purchased from the hatchery.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xdr:row>
      <xdr:rowOff>47625</xdr:rowOff>
    </xdr:from>
    <xdr:to>
      <xdr:col>20</xdr:col>
      <xdr:colOff>276225</xdr:colOff>
      <xdr:row>34</xdr:row>
      <xdr:rowOff>0</xdr:rowOff>
    </xdr:to>
    <xdr:graphicFrame>
      <xdr:nvGraphicFramePr>
        <xdr:cNvPr id="1" name="Chart 3"/>
        <xdr:cNvGraphicFramePr/>
      </xdr:nvGraphicFramePr>
      <xdr:xfrm>
        <a:off x="9934575" y="1343025"/>
        <a:ext cx="6305550" cy="419100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36</xdr:row>
      <xdr:rowOff>104775</xdr:rowOff>
    </xdr:from>
    <xdr:to>
      <xdr:col>6</xdr:col>
      <xdr:colOff>104775</xdr:colOff>
      <xdr:row>36</xdr:row>
      <xdr:rowOff>104775</xdr:rowOff>
    </xdr:to>
    <xdr:sp>
      <xdr:nvSpPr>
        <xdr:cNvPr id="2" name="Line 4"/>
        <xdr:cNvSpPr>
          <a:spLocks/>
        </xdr:cNvSpPr>
      </xdr:nvSpPr>
      <xdr:spPr>
        <a:xfrm>
          <a:off x="6648450" y="603885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2181225</xdr:colOff>
      <xdr:row>16</xdr:row>
      <xdr:rowOff>114300</xdr:rowOff>
    </xdr:from>
    <xdr:to>
      <xdr:col>3</xdr:col>
      <xdr:colOff>1285875</xdr:colOff>
      <xdr:row>16</xdr:row>
      <xdr:rowOff>114300</xdr:rowOff>
    </xdr:to>
    <xdr:sp>
      <xdr:nvSpPr>
        <xdr:cNvPr id="3" name="Line 36"/>
        <xdr:cNvSpPr>
          <a:spLocks/>
        </xdr:cNvSpPr>
      </xdr:nvSpPr>
      <xdr:spPr>
        <a:xfrm>
          <a:off x="2571750" y="2867025"/>
          <a:ext cx="3019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xdr:row>
      <xdr:rowOff>0</xdr:rowOff>
    </xdr:from>
    <xdr:to>
      <xdr:col>13</xdr:col>
      <xdr:colOff>38100</xdr:colOff>
      <xdr:row>24</xdr:row>
      <xdr:rowOff>0</xdr:rowOff>
    </xdr:to>
    <xdr:graphicFrame>
      <xdr:nvGraphicFramePr>
        <xdr:cNvPr id="1" name="Chart 21"/>
        <xdr:cNvGraphicFramePr/>
      </xdr:nvGraphicFramePr>
      <xdr:xfrm>
        <a:off x="3286125" y="857250"/>
        <a:ext cx="7877175" cy="4000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180975</xdr:rowOff>
    </xdr:from>
    <xdr:to>
      <xdr:col>10</xdr:col>
      <xdr:colOff>447675</xdr:colOff>
      <xdr:row>4</xdr:row>
      <xdr:rowOff>9525</xdr:rowOff>
    </xdr:to>
    <xdr:sp>
      <xdr:nvSpPr>
        <xdr:cNvPr id="1" name="Text Box 2"/>
        <xdr:cNvSpPr txBox="1">
          <a:spLocks noChangeArrowheads="1"/>
        </xdr:cNvSpPr>
      </xdr:nvSpPr>
      <xdr:spPr>
        <a:xfrm>
          <a:off x="5905500" y="514350"/>
          <a:ext cx="5286375" cy="390525"/>
        </a:xfrm>
        <a:prstGeom prst="rect">
          <a:avLst/>
        </a:prstGeom>
        <a:solidFill>
          <a:srgbClr val="FFCC99"/>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If the sandfish are sold wet directly to wholesaler or a processor then the drying costs are removed from claculations.</a:t>
          </a:r>
        </a:p>
      </xdr:txBody>
    </xdr:sp>
    <xdr:clientData/>
  </xdr:twoCellAnchor>
  <xdr:twoCellAnchor>
    <xdr:from>
      <xdr:col>6</xdr:col>
      <xdr:colOff>914400</xdr:colOff>
      <xdr:row>51</xdr:row>
      <xdr:rowOff>66675</xdr:rowOff>
    </xdr:from>
    <xdr:to>
      <xdr:col>12</xdr:col>
      <xdr:colOff>361950</xdr:colOff>
      <xdr:row>55</xdr:row>
      <xdr:rowOff>180975</xdr:rowOff>
    </xdr:to>
    <xdr:sp>
      <xdr:nvSpPr>
        <xdr:cNvPr id="2" name="TextBox 19"/>
        <xdr:cNvSpPr txBox="1">
          <a:spLocks noChangeArrowheads="1"/>
        </xdr:cNvSpPr>
      </xdr:nvSpPr>
      <xdr:spPr>
        <a:xfrm>
          <a:off x="8220075" y="8867775"/>
          <a:ext cx="4105275" cy="666750"/>
        </a:xfrm>
        <a:prstGeom prst="rect">
          <a:avLst/>
        </a:prstGeom>
        <a:solidFill>
          <a:srgbClr val="FFCC99"/>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 the number of hours required to process the wet sandfish into a dried product. In particular, the level of processing i.e. gutting, boiling, curing (salt) and drying.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12</xdr:col>
      <xdr:colOff>533400</xdr:colOff>
      <xdr:row>42</xdr:row>
      <xdr:rowOff>9525</xdr:rowOff>
    </xdr:to>
    <xdr:graphicFrame>
      <xdr:nvGraphicFramePr>
        <xdr:cNvPr id="1" name="Chart 1"/>
        <xdr:cNvGraphicFramePr/>
      </xdr:nvGraphicFramePr>
      <xdr:xfrm>
        <a:off x="609600" y="3829050"/>
        <a:ext cx="9372600" cy="3552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76200</xdr:rowOff>
    </xdr:from>
    <xdr:to>
      <xdr:col>5</xdr:col>
      <xdr:colOff>0</xdr:colOff>
      <xdr:row>45</xdr:row>
      <xdr:rowOff>66675</xdr:rowOff>
    </xdr:to>
    <xdr:sp>
      <xdr:nvSpPr>
        <xdr:cNvPr id="1" name="Text Box 5"/>
        <xdr:cNvSpPr txBox="1">
          <a:spLocks noChangeArrowheads="1"/>
        </xdr:cNvSpPr>
      </xdr:nvSpPr>
      <xdr:spPr>
        <a:xfrm>
          <a:off x="619125" y="7410450"/>
          <a:ext cx="7467600" cy="1600200"/>
        </a:xfrm>
        <a:prstGeom prst="rect">
          <a:avLst/>
        </a:prstGeom>
        <a:solidFill>
          <a:srgbClr val="FFCC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Year of purchase</a:t>
          </a:r>
          <a:r>
            <a:rPr lang="en-US" cap="none" sz="1400" b="0" i="0" u="none" baseline="0">
              <a:solidFill>
                <a:srgbClr val="000000"/>
              </a:solidFill>
              <a:latin typeface="Arial"/>
              <a:ea typeface="Arial"/>
              <a:cs typeface="Arial"/>
            </a:rPr>
            <a:t> - When did you buy the item? The majority of capital items are bought in Year 0 which denoted the start up of the project.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Life</a:t>
          </a:r>
          <a:r>
            <a:rPr lang="en-US" cap="none" sz="1400" b="0" i="0" u="none" baseline="0">
              <a:solidFill>
                <a:srgbClr val="000000"/>
              </a:solidFill>
              <a:latin typeface="Arial"/>
              <a:ea typeface="Arial"/>
              <a:cs typeface="Arial"/>
            </a:rPr>
            <a:t> - How long will the item last once you buy it? Remember that the maximum life is 20 years.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Salvage Value </a:t>
          </a:r>
          <a:r>
            <a:rPr lang="en-US" cap="none" sz="1400" b="0" i="0" u="none" baseline="0">
              <a:solidFill>
                <a:srgbClr val="000000"/>
              </a:solidFill>
              <a:latin typeface="Arial"/>
              <a:ea typeface="Arial"/>
              <a:cs typeface="Arial"/>
            </a:rPr>
            <a:t>- How long will the item last you once you purchase 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26</xdr:row>
      <xdr:rowOff>104775</xdr:rowOff>
    </xdr:from>
    <xdr:to>
      <xdr:col>25</xdr:col>
      <xdr:colOff>609600</xdr:colOff>
      <xdr:row>29</xdr:row>
      <xdr:rowOff>123825</xdr:rowOff>
    </xdr:to>
    <xdr:sp>
      <xdr:nvSpPr>
        <xdr:cNvPr id="1" name="Line 1"/>
        <xdr:cNvSpPr>
          <a:spLocks/>
        </xdr:cNvSpPr>
      </xdr:nvSpPr>
      <xdr:spPr>
        <a:xfrm flipH="1">
          <a:off x="238029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266700</xdr:colOff>
      <xdr:row>29</xdr:row>
      <xdr:rowOff>142875</xdr:rowOff>
    </xdr:from>
    <xdr:to>
      <xdr:col>25</xdr:col>
      <xdr:colOff>609600</xdr:colOff>
      <xdr:row>33</xdr:row>
      <xdr:rowOff>57150</xdr:rowOff>
    </xdr:to>
    <xdr:sp>
      <xdr:nvSpPr>
        <xdr:cNvPr id="2" name="Text Box 2"/>
        <xdr:cNvSpPr txBox="1">
          <a:spLocks noChangeArrowheads="1"/>
        </xdr:cNvSpPr>
      </xdr:nvSpPr>
      <xdr:spPr>
        <a:xfrm>
          <a:off x="230505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27</xdr:col>
      <xdr:colOff>409575</xdr:colOff>
      <xdr:row>26</xdr:row>
      <xdr:rowOff>104775</xdr:rowOff>
    </xdr:from>
    <xdr:to>
      <xdr:col>27</xdr:col>
      <xdr:colOff>609600</xdr:colOff>
      <xdr:row>29</xdr:row>
      <xdr:rowOff>123825</xdr:rowOff>
    </xdr:to>
    <xdr:sp>
      <xdr:nvSpPr>
        <xdr:cNvPr id="3" name="Line 3"/>
        <xdr:cNvSpPr>
          <a:spLocks/>
        </xdr:cNvSpPr>
      </xdr:nvSpPr>
      <xdr:spPr>
        <a:xfrm flipH="1">
          <a:off x="250221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266700</xdr:colOff>
      <xdr:row>29</xdr:row>
      <xdr:rowOff>142875</xdr:rowOff>
    </xdr:from>
    <xdr:to>
      <xdr:col>27</xdr:col>
      <xdr:colOff>609600</xdr:colOff>
      <xdr:row>33</xdr:row>
      <xdr:rowOff>57150</xdr:rowOff>
    </xdr:to>
    <xdr:sp>
      <xdr:nvSpPr>
        <xdr:cNvPr id="4" name="Text Box 4"/>
        <xdr:cNvSpPr txBox="1">
          <a:spLocks noChangeArrowheads="1"/>
        </xdr:cNvSpPr>
      </xdr:nvSpPr>
      <xdr:spPr>
        <a:xfrm>
          <a:off x="242697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26</xdr:col>
      <xdr:colOff>409575</xdr:colOff>
      <xdr:row>26</xdr:row>
      <xdr:rowOff>104775</xdr:rowOff>
    </xdr:from>
    <xdr:to>
      <xdr:col>26</xdr:col>
      <xdr:colOff>609600</xdr:colOff>
      <xdr:row>29</xdr:row>
      <xdr:rowOff>123825</xdr:rowOff>
    </xdr:to>
    <xdr:sp>
      <xdr:nvSpPr>
        <xdr:cNvPr id="5" name="Line 5"/>
        <xdr:cNvSpPr>
          <a:spLocks/>
        </xdr:cNvSpPr>
      </xdr:nvSpPr>
      <xdr:spPr>
        <a:xfrm flipH="1">
          <a:off x="24412575"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266700</xdr:colOff>
      <xdr:row>29</xdr:row>
      <xdr:rowOff>142875</xdr:rowOff>
    </xdr:from>
    <xdr:to>
      <xdr:col>26</xdr:col>
      <xdr:colOff>609600</xdr:colOff>
      <xdr:row>33</xdr:row>
      <xdr:rowOff>57150</xdr:rowOff>
    </xdr:to>
    <xdr:sp>
      <xdr:nvSpPr>
        <xdr:cNvPr id="6" name="Text Box 6"/>
        <xdr:cNvSpPr txBox="1">
          <a:spLocks noChangeArrowheads="1"/>
        </xdr:cNvSpPr>
      </xdr:nvSpPr>
      <xdr:spPr>
        <a:xfrm>
          <a:off x="23660100"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28575</xdr:rowOff>
    </xdr:from>
    <xdr:to>
      <xdr:col>11</xdr:col>
      <xdr:colOff>476250</xdr:colOff>
      <xdr:row>31</xdr:row>
      <xdr:rowOff>19050</xdr:rowOff>
    </xdr:to>
    <xdr:sp>
      <xdr:nvSpPr>
        <xdr:cNvPr id="1" name="TextBox 5"/>
        <xdr:cNvSpPr txBox="1">
          <a:spLocks noChangeArrowheads="1"/>
        </xdr:cNvSpPr>
      </xdr:nvSpPr>
      <xdr:spPr>
        <a:xfrm>
          <a:off x="9172575" y="2438400"/>
          <a:ext cx="5257800" cy="2838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Net Present Value (NPV) </a:t>
          </a:r>
          <a:r>
            <a:rPr lang="en-US" cap="none" sz="1000" b="0" i="0" u="none" baseline="0">
              <a:latin typeface="Arial"/>
              <a:ea typeface="Arial"/>
              <a:cs typeface="Arial"/>
            </a:rPr>
            <a:t>is the difference between the present value of cash inflows and the present value of cash outflows over the life of the project.  If the NPV is positive the project is likely to be profitable.  When the NPV is converted to a yearly figure it becomes annualised. In this report the annualised return is called the </a:t>
          </a:r>
          <a:r>
            <a:rPr lang="en-US" cap="none" sz="1000" b="1" i="0" u="none" baseline="0">
              <a:latin typeface="Arial"/>
              <a:ea typeface="Arial"/>
              <a:cs typeface="Arial"/>
            </a:rPr>
            <a:t>Equivalent Annual Return (EAR).</a:t>
          </a:r>
          <a:r>
            <a:rPr lang="en-US" cap="none" sz="1000" b="0" i="0" u="none" baseline="0">
              <a:latin typeface="Arial"/>
              <a:ea typeface="Arial"/>
              <a:cs typeface="Arial"/>
            </a:rPr>
            <a:t> It is a measure of equivalent annual returns generated over the life of the project expressed in today’s dollars.
</a:t>
          </a:r>
          <a:r>
            <a:rPr lang="en-US" cap="none" sz="1000" b="1" i="0" u="none" baseline="0">
              <a:latin typeface="Arial"/>
              <a:ea typeface="Arial"/>
              <a:cs typeface="Arial"/>
            </a:rPr>
            <a:t>Internal Rate of Return (IRR)</a:t>
          </a:r>
          <a:r>
            <a:rPr lang="en-US" cap="none" sz="1000" b="0" i="0" u="none" baseline="0">
              <a:latin typeface="Arial"/>
              <a:ea typeface="Arial"/>
              <a:cs typeface="Arial"/>
            </a:rPr>
            <a:t>
The discount rate at which the project has a NPV of zero is called the internal rate of return.  The IRR represents the maximum rate of interest that could be paid on all capital invested in the project.  If all funds were borrowed, and interest charged at the IRR, the borrower would break even, that is, recover the capital invested in the project.
</a:t>
          </a:r>
          <a:r>
            <a:rPr lang="en-US" cap="none" sz="1000" b="1" i="0" u="none" baseline="0">
              <a:latin typeface="Arial"/>
              <a:ea typeface="Arial"/>
              <a:cs typeface="Arial"/>
            </a:rPr>
            <a:t>Benefit – Cost Ratio</a:t>
          </a:r>
          <a:r>
            <a:rPr lang="en-US" cap="none" sz="1000" b="0" i="0" u="none" baseline="0">
              <a:latin typeface="Arial"/>
              <a:ea typeface="Arial"/>
              <a:cs typeface="Arial"/>
            </a:rPr>
            <a:t>
The benefit – cost ratio is simply a measure of the total flow of benefits over the life of the project as compared to the flow of costs. If the ratio is greater than one the project is deemed acceptable. In other words, the ratio describes the return per dollar invested; e.g. if the b-c ratio is 1.6 then we can say that for every $1.00 invested in the project or enterprise we get a return of $1.60.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png" /></Relationships>
</file>

<file path=xl/worksheets/_rels/sheet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image" Target="../media/image6.png" /><Relationship Id="rId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1.xml" /><Relationship Id="rId3" Type="http://schemas.openxmlformats.org/officeDocument/2006/relationships/image" Target="../media/image7.png" /><Relationship Id="rId4"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4:H24"/>
  <sheetViews>
    <sheetView showGridLines="0" showRowColHeaders="0" tabSelected="1" zoomScale="75" zoomScaleNormal="75" zoomScalePageLayoutView="0" workbookViewId="0" topLeftCell="A1">
      <selection activeCell="N8" sqref="N8"/>
    </sheetView>
  </sheetViews>
  <sheetFormatPr defaultColWidth="9.140625" defaultRowHeight="12.75"/>
  <cols>
    <col min="1" max="6" width="9.140625" style="210" customWidth="1"/>
    <col min="7" max="7" width="17.28125" style="210" customWidth="1"/>
    <col min="8" max="8" width="13.57421875" style="210" customWidth="1"/>
    <col min="9" max="16384" width="9.140625" style="210" customWidth="1"/>
  </cols>
  <sheetData>
    <row r="8" ht="15.75"/>
    <row r="9" ht="15.75"/>
    <row r="10" ht="15.75"/>
    <row r="11" ht="15.75"/>
    <row r="12" ht="15.75"/>
    <row r="13" ht="15.75"/>
    <row r="14" ht="15.75"/>
    <row r="15" ht="15.75"/>
    <row r="16" ht="15.75"/>
    <row r="17" ht="15.75"/>
    <row r="18" ht="15.75"/>
    <row r="19" ht="15.75"/>
    <row r="24" spans="2:8" ht="15.75">
      <c r="B24" s="235"/>
      <c r="C24" s="235"/>
      <c r="D24" s="235"/>
      <c r="E24" s="235"/>
      <c r="F24" s="235"/>
      <c r="G24" s="353"/>
      <c r="H24" s="354"/>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F34"/>
  <sheetViews>
    <sheetView showGridLines="0" showRowColHeaders="0" zoomScale="75" zoomScaleNormal="75" zoomScalePageLayoutView="0" workbookViewId="0" topLeftCell="A1">
      <selection activeCell="D33" sqref="D33"/>
    </sheetView>
  </sheetViews>
  <sheetFormatPr defaultColWidth="9.140625" defaultRowHeight="12.75"/>
  <cols>
    <col min="1" max="2" width="9.140625" style="232" customWidth="1"/>
    <col min="3" max="3" width="45.8515625" style="232" customWidth="1"/>
    <col min="4" max="4" width="18.8515625" style="232" customWidth="1"/>
    <col min="5" max="5" width="1.8515625" style="232" customWidth="1"/>
    <col min="6" max="16384" width="9.140625" style="232" customWidth="1"/>
  </cols>
  <sheetData>
    <row r="1" ht="26.25">
      <c r="A1" s="211" t="s">
        <v>55</v>
      </c>
    </row>
    <row r="4" spans="1:4" ht="18.75">
      <c r="A4" s="212" t="s">
        <v>238</v>
      </c>
      <c r="C4" s="234"/>
      <c r="D4" s="237"/>
    </row>
    <row r="5" spans="1:4" ht="6" customHeight="1">
      <c r="A5" s="233"/>
      <c r="B5" s="234"/>
      <c r="C5" s="234"/>
      <c r="D5" s="237"/>
    </row>
    <row r="6" spans="1:4" ht="18">
      <c r="A6" s="233"/>
      <c r="B6" s="234"/>
      <c r="C6" s="210" t="s">
        <v>56</v>
      </c>
      <c r="D6" s="47">
        <v>0</v>
      </c>
    </row>
    <row r="7" spans="1:4" ht="8.25" customHeight="1">
      <c r="A7" s="233"/>
      <c r="B7" s="234"/>
      <c r="C7" s="210"/>
      <c r="D7" s="236"/>
    </row>
    <row r="8" spans="1:6" ht="18">
      <c r="A8" s="233"/>
      <c r="B8" s="234"/>
      <c r="C8" s="210" t="s">
        <v>237</v>
      </c>
      <c r="D8" s="4">
        <v>0</v>
      </c>
      <c r="F8" s="210"/>
    </row>
    <row r="9" spans="1:4" ht="8.25" customHeight="1">
      <c r="A9" s="233"/>
      <c r="B9" s="234"/>
      <c r="C9" s="210"/>
      <c r="D9" s="236"/>
    </row>
    <row r="10" spans="1:4" ht="18">
      <c r="A10" s="233"/>
      <c r="B10" s="234"/>
      <c r="C10" s="210" t="s">
        <v>236</v>
      </c>
      <c r="D10" s="345">
        <v>0</v>
      </c>
    </row>
    <row r="11" spans="1:4" ht="8.25" customHeight="1">
      <c r="A11" s="233"/>
      <c r="B11" s="234"/>
      <c r="C11" s="234"/>
      <c r="D11" s="234"/>
    </row>
    <row r="12" spans="1:4" ht="18">
      <c r="A12" s="233"/>
      <c r="B12" s="234"/>
      <c r="C12" s="210" t="s">
        <v>57</v>
      </c>
      <c r="D12" s="348">
        <f>(D6*D8*D10)</f>
        <v>0</v>
      </c>
    </row>
    <row r="13" spans="1:4" ht="18">
      <c r="A13" s="233"/>
      <c r="B13" s="234"/>
      <c r="C13" s="234"/>
      <c r="D13" s="234"/>
    </row>
    <row r="14" spans="1:4" ht="18.75">
      <c r="A14" s="212" t="s">
        <v>234</v>
      </c>
      <c r="C14" s="234"/>
      <c r="D14" s="234"/>
    </row>
    <row r="15" spans="1:4" ht="6" customHeight="1">
      <c r="A15" s="233"/>
      <c r="B15" s="234"/>
      <c r="C15" s="234"/>
      <c r="D15" s="234"/>
    </row>
    <row r="16" spans="1:4" ht="18">
      <c r="A16" s="233"/>
      <c r="B16" s="234"/>
      <c r="C16" s="210" t="s">
        <v>56</v>
      </c>
      <c r="D16" s="47">
        <v>0</v>
      </c>
    </row>
    <row r="17" spans="1:4" ht="8.25" customHeight="1">
      <c r="A17" s="233"/>
      <c r="B17" s="234"/>
      <c r="C17" s="210"/>
      <c r="D17" s="236"/>
    </row>
    <row r="18" spans="1:4" ht="18">
      <c r="A18" s="233"/>
      <c r="B18" s="234"/>
      <c r="C18" s="210" t="s">
        <v>58</v>
      </c>
      <c r="D18" s="345">
        <v>0</v>
      </c>
    </row>
    <row r="19" spans="1:4" ht="8.25" customHeight="1">
      <c r="A19" s="233"/>
      <c r="B19" s="234"/>
      <c r="C19" s="234"/>
      <c r="D19" s="234"/>
    </row>
    <row r="20" spans="1:4" ht="18">
      <c r="A20" s="233"/>
      <c r="B20" s="234"/>
      <c r="C20" s="210" t="s">
        <v>57</v>
      </c>
      <c r="D20" s="348">
        <f>(D18*52)*D16</f>
        <v>0</v>
      </c>
    </row>
    <row r="21" spans="1:4" ht="18">
      <c r="A21" s="233"/>
      <c r="B21" s="234"/>
      <c r="C21" s="234"/>
      <c r="D21" s="234"/>
    </row>
    <row r="22" spans="1:4" ht="18.75">
      <c r="A22" s="212" t="s">
        <v>235</v>
      </c>
      <c r="C22" s="234"/>
      <c r="D22" s="234"/>
    </row>
    <row r="23" spans="1:4" ht="6" customHeight="1">
      <c r="A23" s="233"/>
      <c r="B23" s="234"/>
      <c r="C23" s="234"/>
      <c r="D23" s="234"/>
    </row>
    <row r="24" spans="1:4" ht="18">
      <c r="A24" s="233"/>
      <c r="B24" s="234"/>
      <c r="C24" s="210" t="s">
        <v>56</v>
      </c>
      <c r="D24" s="47">
        <v>0</v>
      </c>
    </row>
    <row r="25" spans="1:4" ht="8.25" customHeight="1">
      <c r="A25" s="233"/>
      <c r="B25" s="234"/>
      <c r="C25" s="210"/>
      <c r="D25" s="236"/>
    </row>
    <row r="26" spans="1:4" ht="18">
      <c r="A26" s="233"/>
      <c r="B26" s="234"/>
      <c r="C26" s="210" t="s">
        <v>58</v>
      </c>
      <c r="D26" s="343">
        <v>0</v>
      </c>
    </row>
    <row r="27" spans="1:4" ht="8.25" customHeight="1">
      <c r="A27" s="233"/>
      <c r="B27" s="234"/>
      <c r="C27" s="234"/>
      <c r="D27" s="234"/>
    </row>
    <row r="28" spans="1:4" ht="18">
      <c r="A28" s="233"/>
      <c r="B28" s="234"/>
      <c r="C28" s="210" t="s">
        <v>57</v>
      </c>
      <c r="D28" s="348">
        <f>(D26*52)*D24</f>
        <v>0</v>
      </c>
    </row>
    <row r="29" ht="18">
      <c r="A29" s="233"/>
    </row>
    <row r="30" spans="1:4" ht="18.75">
      <c r="A30" s="212" t="s">
        <v>59</v>
      </c>
      <c r="C30" s="234"/>
      <c r="D30" s="234"/>
    </row>
    <row r="31" spans="2:4" ht="6" customHeight="1">
      <c r="B31" s="234"/>
      <c r="C31" s="234"/>
      <c r="D31" s="234"/>
    </row>
    <row r="32" spans="2:4" ht="15.75">
      <c r="B32" s="234"/>
      <c r="C32" s="210" t="s">
        <v>58</v>
      </c>
      <c r="D32" s="343">
        <v>0</v>
      </c>
    </row>
    <row r="33" spans="2:4" ht="8.25" customHeight="1">
      <c r="B33" s="234"/>
      <c r="C33" s="210"/>
      <c r="D33" s="234"/>
    </row>
    <row r="34" spans="2:4" ht="15.75">
      <c r="B34" s="234"/>
      <c r="C34" s="210" t="s">
        <v>60</v>
      </c>
      <c r="D34" s="348">
        <f>D32*52</f>
        <v>0</v>
      </c>
    </row>
  </sheetData>
  <sheetProtection password="8D83" sheet="1" objects="1" scenarios="1"/>
  <printOptions/>
  <pageMargins left="0.75" right="0.75" top="1" bottom="1" header="0.5" footer="0.5"/>
  <pageSetup orientation="portrait" paperSize="9"/>
  <picture r:id="rId1"/>
</worksheet>
</file>

<file path=xl/worksheets/sheet11.xml><?xml version="1.0" encoding="utf-8"?>
<worksheet xmlns="http://schemas.openxmlformats.org/spreadsheetml/2006/main" xmlns:r="http://schemas.openxmlformats.org/officeDocument/2006/relationships">
  <sheetPr codeName="Sheet13"/>
  <dimension ref="A1:N38"/>
  <sheetViews>
    <sheetView showGridLines="0" showRowColHeaders="0" zoomScale="75" zoomScaleNormal="75" zoomScalePageLayoutView="0" workbookViewId="0" topLeftCell="A1">
      <selection activeCell="D16" sqref="D16"/>
    </sheetView>
  </sheetViews>
  <sheetFormatPr defaultColWidth="9.140625" defaultRowHeight="12.75"/>
  <cols>
    <col min="1" max="1" width="3.421875" style="210" customWidth="1"/>
    <col min="2" max="2" width="34.28125" style="210" bestFit="1" customWidth="1"/>
    <col min="3" max="3" width="9.140625" style="210" customWidth="1"/>
    <col min="4" max="4" width="22.140625" style="210" customWidth="1"/>
    <col min="5" max="5" width="3.8515625" style="210" customWidth="1"/>
    <col min="6" max="6" width="9.00390625" style="210" customWidth="1"/>
    <col min="7" max="10" width="9.140625" style="210" customWidth="1"/>
    <col min="11" max="11" width="3.140625" style="210" customWidth="1"/>
    <col min="12" max="12" width="22.140625" style="210" customWidth="1"/>
    <col min="13" max="13" width="3.7109375" style="210" customWidth="1"/>
    <col min="14" max="14" width="13.00390625" style="210" customWidth="1"/>
    <col min="15" max="16384" width="9.140625" style="210" customWidth="1"/>
  </cols>
  <sheetData>
    <row r="1" spans="1:3" ht="26.25">
      <c r="A1" s="238" t="s">
        <v>61</v>
      </c>
      <c r="B1" s="239"/>
      <c r="C1" s="240"/>
    </row>
    <row r="2" ht="15.75">
      <c r="A2" s="241"/>
    </row>
    <row r="3" ht="15.75">
      <c r="A3" s="241"/>
    </row>
    <row r="4" ht="15.75">
      <c r="A4" s="241"/>
    </row>
    <row r="5" spans="1:14" ht="15.75">
      <c r="A5" s="241"/>
      <c r="B5" s="235" t="s">
        <v>62</v>
      </c>
      <c r="D5" s="343">
        <v>0</v>
      </c>
      <c r="F5" s="235" t="s">
        <v>63</v>
      </c>
      <c r="I5" s="240"/>
      <c r="J5" s="240"/>
      <c r="L5" s="343">
        <v>0</v>
      </c>
      <c r="N5" s="242"/>
    </row>
    <row r="6" spans="1:12" ht="7.5" customHeight="1">
      <c r="A6" s="241"/>
      <c r="B6" s="235"/>
      <c r="D6" s="243"/>
      <c r="L6" s="349"/>
    </row>
    <row r="7" spans="1:12" ht="15.75">
      <c r="A7" s="241"/>
      <c r="B7" s="235" t="s">
        <v>64</v>
      </c>
      <c r="D7" s="343">
        <v>0</v>
      </c>
      <c r="F7" s="235" t="s">
        <v>65</v>
      </c>
      <c r="I7" s="240"/>
      <c r="J7" s="240"/>
      <c r="L7" s="343">
        <v>0</v>
      </c>
    </row>
    <row r="8" spans="1:12" ht="7.5" customHeight="1">
      <c r="A8" s="244"/>
      <c r="B8" s="235"/>
      <c r="D8" s="245"/>
      <c r="F8" s="235"/>
      <c r="I8" s="240"/>
      <c r="J8" s="240"/>
      <c r="L8" s="245"/>
    </row>
    <row r="9" spans="1:12" ht="15.75">
      <c r="A9" s="241"/>
      <c r="B9" s="235" t="s">
        <v>66</v>
      </c>
      <c r="D9" s="343">
        <v>0</v>
      </c>
      <c r="F9" s="235" t="s">
        <v>258</v>
      </c>
      <c r="L9" s="343">
        <v>0</v>
      </c>
    </row>
    <row r="10" spans="1:12" ht="7.5" customHeight="1">
      <c r="A10" s="244"/>
      <c r="B10" s="235"/>
      <c r="D10" s="245"/>
      <c r="L10" s="349"/>
    </row>
    <row r="11" spans="1:12" ht="15.75">
      <c r="A11" s="241"/>
      <c r="B11" s="235" t="s">
        <v>67</v>
      </c>
      <c r="C11" s="240"/>
      <c r="D11" s="343">
        <v>0</v>
      </c>
      <c r="F11" s="235" t="s">
        <v>68</v>
      </c>
      <c r="L11" s="343">
        <v>0</v>
      </c>
    </row>
    <row r="12" spans="1:12" ht="7.5" customHeight="1">
      <c r="A12" s="241"/>
      <c r="D12" s="349"/>
      <c r="L12" s="349"/>
    </row>
    <row r="13" spans="1:14" ht="15.75">
      <c r="A13" s="244"/>
      <c r="B13" s="235" t="s">
        <v>69</v>
      </c>
      <c r="C13" s="240"/>
      <c r="D13" s="343">
        <v>0</v>
      </c>
      <c r="F13" s="235" t="s">
        <v>70</v>
      </c>
      <c r="I13" s="240"/>
      <c r="J13" s="240"/>
      <c r="L13" s="343">
        <v>0</v>
      </c>
      <c r="N13" s="246"/>
    </row>
    <row r="14" spans="1:14" ht="7.5" customHeight="1">
      <c r="A14" s="241"/>
      <c r="D14" s="349"/>
      <c r="I14" s="240"/>
      <c r="J14" s="240"/>
      <c r="L14" s="349"/>
      <c r="N14" s="247"/>
    </row>
    <row r="15" spans="1:14" ht="15.75">
      <c r="A15" s="241"/>
      <c r="B15" s="235" t="s">
        <v>71</v>
      </c>
      <c r="C15" s="240"/>
      <c r="D15" s="343">
        <v>0</v>
      </c>
      <c r="F15" s="210" t="s">
        <v>72</v>
      </c>
      <c r="H15" s="248"/>
      <c r="L15" s="349"/>
      <c r="N15" s="247"/>
    </row>
    <row r="16" spans="1:14" ht="7.5" customHeight="1">
      <c r="A16" s="241"/>
      <c r="D16" s="349"/>
      <c r="L16" s="349"/>
      <c r="M16" s="241"/>
      <c r="N16" s="247"/>
    </row>
    <row r="17" spans="1:14" ht="15.75">
      <c r="A17" s="241"/>
      <c r="B17" s="235" t="s">
        <v>73</v>
      </c>
      <c r="C17" s="240"/>
      <c r="D17" s="343">
        <v>0</v>
      </c>
      <c r="F17" s="249"/>
      <c r="G17" s="250"/>
      <c r="H17" s="250"/>
      <c r="I17" s="250"/>
      <c r="J17" s="251"/>
      <c r="L17" s="343">
        <v>0</v>
      </c>
      <c r="M17" s="241"/>
      <c r="N17" s="247"/>
    </row>
    <row r="18" spans="1:14" ht="7.5" customHeight="1">
      <c r="A18" s="241"/>
      <c r="B18" s="235"/>
      <c r="C18" s="240"/>
      <c r="D18" s="349"/>
      <c r="F18" s="236"/>
      <c r="L18" s="349"/>
      <c r="M18" s="241"/>
      <c r="N18" s="247"/>
    </row>
    <row r="19" spans="1:14" ht="15.75">
      <c r="A19" s="241"/>
      <c r="B19" s="235" t="s">
        <v>74</v>
      </c>
      <c r="C19" s="240"/>
      <c r="D19" s="343">
        <v>0</v>
      </c>
      <c r="F19" s="249"/>
      <c r="G19" s="250"/>
      <c r="H19" s="250"/>
      <c r="I19" s="250"/>
      <c r="J19" s="251"/>
      <c r="L19" s="343">
        <v>0</v>
      </c>
      <c r="M19" s="241"/>
      <c r="N19" s="247"/>
    </row>
    <row r="20" spans="1:14" ht="7.5" customHeight="1">
      <c r="A20" s="241"/>
      <c r="B20" s="235"/>
      <c r="C20" s="240"/>
      <c r="D20" s="243"/>
      <c r="F20" s="236"/>
      <c r="L20" s="349"/>
      <c r="M20" s="241"/>
      <c r="N20" s="247"/>
    </row>
    <row r="21" spans="1:12" ht="15.75">
      <c r="A21" s="241"/>
      <c r="B21" s="235" t="s">
        <v>75</v>
      </c>
      <c r="C21" s="240"/>
      <c r="D21" s="343">
        <v>0</v>
      </c>
      <c r="F21" s="249"/>
      <c r="G21" s="250"/>
      <c r="H21" s="250"/>
      <c r="I21" s="250"/>
      <c r="J21" s="251"/>
      <c r="L21" s="343">
        <v>0</v>
      </c>
    </row>
    <row r="22" spans="1:12" ht="7.5" customHeight="1">
      <c r="A22" s="241"/>
      <c r="B22" s="235"/>
      <c r="C22" s="240"/>
      <c r="D22" s="243"/>
      <c r="L22" s="349"/>
    </row>
    <row r="23" spans="1:12" ht="15.75">
      <c r="A23" s="241"/>
      <c r="B23" s="235" t="s">
        <v>76</v>
      </c>
      <c r="C23" s="240"/>
      <c r="D23" s="343">
        <v>0</v>
      </c>
      <c r="F23" s="249"/>
      <c r="G23" s="250"/>
      <c r="H23" s="250"/>
      <c r="I23" s="250"/>
      <c r="J23" s="251"/>
      <c r="L23" s="343">
        <v>0</v>
      </c>
    </row>
    <row r="24" spans="1:4" ht="15.75">
      <c r="A24" s="241"/>
      <c r="B24" s="235"/>
      <c r="C24" s="240"/>
      <c r="D24" s="245"/>
    </row>
    <row r="25" ht="15.75">
      <c r="A25" s="244"/>
    </row>
    <row r="26" ht="15.75">
      <c r="A26" s="241"/>
    </row>
    <row r="27" spans="1:4" ht="15.75">
      <c r="A27" s="241"/>
      <c r="B27" s="235"/>
      <c r="C27" s="240"/>
      <c r="D27" s="245"/>
    </row>
    <row r="28" ht="15.75">
      <c r="A28" s="241"/>
    </row>
    <row r="29" ht="15.75">
      <c r="A29" s="241"/>
    </row>
    <row r="30" ht="15.75">
      <c r="A30" s="241"/>
    </row>
    <row r="31" ht="15.75">
      <c r="A31" s="241"/>
    </row>
    <row r="32" ht="15.75">
      <c r="A32" s="240"/>
    </row>
    <row r="33" spans="1:6" ht="15.75">
      <c r="A33" s="240"/>
      <c r="F33" s="248"/>
    </row>
    <row r="34" spans="1:6" ht="15.75">
      <c r="A34" s="240"/>
      <c r="F34" s="235"/>
    </row>
    <row r="35" spans="1:6" ht="15.75">
      <c r="A35" s="240"/>
      <c r="C35" s="240"/>
      <c r="F35" s="243"/>
    </row>
    <row r="36" spans="3:6" ht="15.75">
      <c r="C36" s="240"/>
      <c r="F36" s="243"/>
    </row>
    <row r="37" spans="3:6" ht="15.75">
      <c r="C37" s="240"/>
      <c r="F37" s="243"/>
    </row>
    <row r="38" spans="3:6" ht="15.75">
      <c r="C38" s="240"/>
      <c r="F38" s="243"/>
    </row>
  </sheetData>
  <sheetProtection password="8D83" sheet="1" objects="1" scenarios="1"/>
  <printOptions/>
  <pageMargins left="0.75" right="0.75" top="1" bottom="1" header="0.5" footer="0.5"/>
  <pageSetup horizontalDpi="600" verticalDpi="600" orientation="portrait" paperSize="9" r:id="rId2"/>
  <picture r:id="rId1"/>
</worksheet>
</file>

<file path=xl/worksheets/sheet12.xml><?xml version="1.0" encoding="utf-8"?>
<worksheet xmlns="http://schemas.openxmlformats.org/spreadsheetml/2006/main" xmlns:r="http://schemas.openxmlformats.org/officeDocument/2006/relationships">
  <sheetPr codeName="Sheet14"/>
  <dimension ref="A1:AH65"/>
  <sheetViews>
    <sheetView showGridLines="0" showRowColHeaders="0" zoomScale="75" zoomScaleNormal="75" zoomScalePageLayoutView="0" workbookViewId="0" topLeftCell="A1">
      <selection activeCell="AK20" sqref="AK20"/>
    </sheetView>
  </sheetViews>
  <sheetFormatPr defaultColWidth="9.140625" defaultRowHeight="12.75"/>
  <cols>
    <col min="1" max="1" width="9.140625" style="232" customWidth="1"/>
    <col min="2" max="2" width="52.57421875" style="232" customWidth="1"/>
    <col min="3" max="3" width="14.140625" style="232" bestFit="1" customWidth="1"/>
    <col min="4" max="5" width="22.7109375" style="232" customWidth="1"/>
    <col min="6" max="6" width="19.7109375" style="232" bestFit="1" customWidth="1"/>
    <col min="7" max="7" width="13.28125" style="232" bestFit="1" customWidth="1"/>
    <col min="8" max="8" width="20.7109375" style="232" bestFit="1" customWidth="1"/>
    <col min="9" max="9" width="5.28125" style="232" customWidth="1"/>
    <col min="10" max="10" width="4.7109375" style="232" customWidth="1"/>
    <col min="11" max="11" width="19.7109375" style="252" hidden="1" customWidth="1"/>
    <col min="12" max="12" width="24.140625" style="252" hidden="1" customWidth="1"/>
    <col min="13" max="32" width="9.140625" style="252" hidden="1" customWidth="1"/>
    <col min="33" max="33" width="13.421875" style="232" hidden="1" customWidth="1"/>
    <col min="34" max="34" width="12.8515625" style="232" hidden="1" customWidth="1"/>
    <col min="35" max="16384" width="9.140625" style="232" customWidth="1"/>
  </cols>
  <sheetData>
    <row r="1" spans="1:3" ht="25.5" customHeight="1">
      <c r="A1" s="211" t="s">
        <v>77</v>
      </c>
      <c r="C1" s="210"/>
    </row>
    <row r="2" ht="10.5" customHeight="1"/>
    <row r="3" ht="10.5" customHeight="1"/>
    <row r="5" spans="2:5" ht="15.75" customHeight="1">
      <c r="B5" s="253" t="s">
        <v>78</v>
      </c>
      <c r="C5" s="296">
        <v>20</v>
      </c>
      <c r="E5" s="254"/>
    </row>
    <row r="6" ht="15.75" thickBot="1"/>
    <row r="7" spans="2:32" ht="16.5" thickBot="1">
      <c r="B7" s="369" t="s">
        <v>79</v>
      </c>
      <c r="C7" s="370" t="s">
        <v>80</v>
      </c>
      <c r="D7" s="370" t="s">
        <v>81</v>
      </c>
      <c r="E7" s="370" t="s">
        <v>82</v>
      </c>
      <c r="F7" s="370" t="s">
        <v>83</v>
      </c>
      <c r="G7" s="370" t="s">
        <v>84</v>
      </c>
      <c r="H7" s="370" t="s">
        <v>85</v>
      </c>
      <c r="K7" s="255" t="s">
        <v>86</v>
      </c>
      <c r="L7" s="256" t="s">
        <v>87</v>
      </c>
      <c r="M7" s="257">
        <v>1</v>
      </c>
      <c r="N7" s="256">
        <v>2</v>
      </c>
      <c r="O7" s="256">
        <v>3</v>
      </c>
      <c r="P7" s="256">
        <v>4</v>
      </c>
      <c r="Q7" s="256">
        <v>5</v>
      </c>
      <c r="R7" s="256">
        <v>6</v>
      </c>
      <c r="S7" s="256">
        <v>7</v>
      </c>
      <c r="T7" s="256">
        <v>8</v>
      </c>
      <c r="U7" s="256">
        <v>9</v>
      </c>
      <c r="V7" s="256">
        <v>10</v>
      </c>
      <c r="W7" s="256">
        <v>11</v>
      </c>
      <c r="X7" s="256">
        <v>12</v>
      </c>
      <c r="Y7" s="256">
        <v>13</v>
      </c>
      <c r="Z7" s="256">
        <v>14</v>
      </c>
      <c r="AA7" s="256">
        <v>15</v>
      </c>
      <c r="AB7" s="256">
        <v>16</v>
      </c>
      <c r="AC7" s="256">
        <v>17</v>
      </c>
      <c r="AD7" s="256">
        <v>18</v>
      </c>
      <c r="AE7" s="256">
        <v>19</v>
      </c>
      <c r="AF7" s="256">
        <v>20</v>
      </c>
    </row>
    <row r="8" spans="2:32" ht="15">
      <c r="B8" s="386" t="s">
        <v>88</v>
      </c>
      <c r="C8" s="371"/>
      <c r="D8" s="372"/>
      <c r="E8" s="372"/>
      <c r="F8" s="372"/>
      <c r="G8" s="372"/>
      <c r="H8" s="387"/>
      <c r="K8" s="258"/>
      <c r="L8" s="259"/>
      <c r="M8" s="260">
        <v>1</v>
      </c>
      <c r="N8" s="261">
        <v>2</v>
      </c>
      <c r="O8" s="261">
        <v>3</v>
      </c>
      <c r="P8" s="261">
        <v>4</v>
      </c>
      <c r="Q8" s="261">
        <v>5</v>
      </c>
      <c r="R8" s="261">
        <v>6</v>
      </c>
      <c r="S8" s="261">
        <v>7</v>
      </c>
      <c r="T8" s="261">
        <v>8</v>
      </c>
      <c r="U8" s="261">
        <v>9</v>
      </c>
      <c r="V8" s="261">
        <v>10</v>
      </c>
      <c r="W8" s="261">
        <v>11</v>
      </c>
      <c r="X8" s="261">
        <v>12</v>
      </c>
      <c r="Y8" s="261">
        <v>13</v>
      </c>
      <c r="Z8" s="261">
        <v>14</v>
      </c>
      <c r="AA8" s="261">
        <v>15</v>
      </c>
      <c r="AB8" s="261">
        <v>16</v>
      </c>
      <c r="AC8" s="261">
        <v>17</v>
      </c>
      <c r="AD8" s="261">
        <v>18</v>
      </c>
      <c r="AE8" s="261">
        <v>19</v>
      </c>
      <c r="AF8" s="261">
        <v>20</v>
      </c>
    </row>
    <row r="9" spans="2:32" ht="15.75">
      <c r="B9" s="373" t="s">
        <v>89</v>
      </c>
      <c r="C9" s="374" t="s">
        <v>90</v>
      </c>
      <c r="D9" s="375">
        <v>0</v>
      </c>
      <c r="E9" s="348">
        <f>D9</f>
        <v>0</v>
      </c>
      <c r="F9" s="376">
        <v>0</v>
      </c>
      <c r="G9" s="376">
        <v>0</v>
      </c>
      <c r="H9" s="377">
        <v>0</v>
      </c>
      <c r="K9" s="262">
        <f>E9*H9</f>
        <v>0</v>
      </c>
      <c r="L9" s="263">
        <f>E9-K9</f>
        <v>0</v>
      </c>
      <c r="M9" s="264">
        <f aca="true" t="shared" si="0" ref="M9:V12">IF(M$8&lt;$C$5,IF($G9=0,0,IF(($F9+$G9)&lt;=$C$5,$F9+M$8*$G9,0)),"")</f>
        <v>0</v>
      </c>
      <c r="N9" s="265">
        <f t="shared" si="0"/>
        <v>0</v>
      </c>
      <c r="O9" s="265">
        <f t="shared" si="0"/>
        <v>0</v>
      </c>
      <c r="P9" s="265">
        <f t="shared" si="0"/>
        <v>0</v>
      </c>
      <c r="Q9" s="265">
        <f t="shared" si="0"/>
        <v>0</v>
      </c>
      <c r="R9" s="265">
        <f t="shared" si="0"/>
        <v>0</v>
      </c>
      <c r="S9" s="265">
        <f t="shared" si="0"/>
        <v>0</v>
      </c>
      <c r="T9" s="265">
        <f t="shared" si="0"/>
        <v>0</v>
      </c>
      <c r="U9" s="265">
        <f t="shared" si="0"/>
        <v>0</v>
      </c>
      <c r="V9" s="265">
        <f t="shared" si="0"/>
        <v>0</v>
      </c>
      <c r="W9" s="265">
        <f aca="true" t="shared" si="1" ref="W9:AF12">IF(W$8&lt;$C$5,IF($G9=0,0,IF(($F9+$G9)&lt;=$C$5,$F9+W$8*$G9,0)),"")</f>
        <v>0</v>
      </c>
      <c r="X9" s="265">
        <f t="shared" si="1"/>
        <v>0</v>
      </c>
      <c r="Y9" s="265">
        <f t="shared" si="1"/>
        <v>0</v>
      </c>
      <c r="Z9" s="265">
        <f t="shared" si="1"/>
        <v>0</v>
      </c>
      <c r="AA9" s="265">
        <f t="shared" si="1"/>
        <v>0</v>
      </c>
      <c r="AB9" s="265">
        <f t="shared" si="1"/>
        <v>0</v>
      </c>
      <c r="AC9" s="265">
        <f t="shared" si="1"/>
        <v>0</v>
      </c>
      <c r="AD9" s="265">
        <f t="shared" si="1"/>
        <v>0</v>
      </c>
      <c r="AE9" s="265">
        <f t="shared" si="1"/>
        <v>0</v>
      </c>
      <c r="AF9" s="265">
        <f t="shared" si="1"/>
      </c>
    </row>
    <row r="10" spans="2:32" ht="15.75">
      <c r="B10" s="373" t="s">
        <v>222</v>
      </c>
      <c r="C10" s="376">
        <v>0</v>
      </c>
      <c r="D10" s="375">
        <v>0</v>
      </c>
      <c r="E10" s="348">
        <f>C10*D10</f>
        <v>0</v>
      </c>
      <c r="F10" s="376">
        <v>0</v>
      </c>
      <c r="G10" s="376">
        <v>0</v>
      </c>
      <c r="H10" s="377">
        <v>0</v>
      </c>
      <c r="K10" s="262">
        <f>E10*H10</f>
        <v>0</v>
      </c>
      <c r="L10" s="266">
        <f>E10-K10</f>
        <v>0</v>
      </c>
      <c r="M10" s="264">
        <f t="shared" si="0"/>
        <v>0</v>
      </c>
      <c r="N10" s="265">
        <f t="shared" si="0"/>
        <v>0</v>
      </c>
      <c r="O10" s="265">
        <f t="shared" si="0"/>
        <v>0</v>
      </c>
      <c r="P10" s="265">
        <f t="shared" si="0"/>
        <v>0</v>
      </c>
      <c r="Q10" s="265">
        <f t="shared" si="0"/>
        <v>0</v>
      </c>
      <c r="R10" s="265">
        <f t="shared" si="0"/>
        <v>0</v>
      </c>
      <c r="S10" s="265">
        <f t="shared" si="0"/>
        <v>0</v>
      </c>
      <c r="T10" s="265">
        <f t="shared" si="0"/>
        <v>0</v>
      </c>
      <c r="U10" s="265">
        <f t="shared" si="0"/>
        <v>0</v>
      </c>
      <c r="V10" s="265">
        <f t="shared" si="0"/>
        <v>0</v>
      </c>
      <c r="W10" s="265">
        <f t="shared" si="1"/>
        <v>0</v>
      </c>
      <c r="X10" s="265">
        <f t="shared" si="1"/>
        <v>0</v>
      </c>
      <c r="Y10" s="265">
        <f t="shared" si="1"/>
        <v>0</v>
      </c>
      <c r="Z10" s="265">
        <f t="shared" si="1"/>
        <v>0</v>
      </c>
      <c r="AA10" s="265">
        <f t="shared" si="1"/>
        <v>0</v>
      </c>
      <c r="AB10" s="265">
        <f t="shared" si="1"/>
        <v>0</v>
      </c>
      <c r="AC10" s="265">
        <f t="shared" si="1"/>
        <v>0</v>
      </c>
      <c r="AD10" s="265">
        <f t="shared" si="1"/>
        <v>0</v>
      </c>
      <c r="AE10" s="265">
        <f t="shared" si="1"/>
        <v>0</v>
      </c>
      <c r="AF10" s="265">
        <f t="shared" si="1"/>
      </c>
    </row>
    <row r="11" spans="2:32" ht="15.75">
      <c r="B11" s="373" t="s">
        <v>94</v>
      </c>
      <c r="C11" s="376">
        <v>0</v>
      </c>
      <c r="D11" s="375">
        <v>0</v>
      </c>
      <c r="E11" s="348">
        <f>C11*D11</f>
        <v>0</v>
      </c>
      <c r="F11" s="376">
        <v>0</v>
      </c>
      <c r="G11" s="376">
        <v>0</v>
      </c>
      <c r="H11" s="377">
        <v>0</v>
      </c>
      <c r="K11" s="262">
        <f>E11*H11</f>
        <v>0</v>
      </c>
      <c r="L11" s="266">
        <f>E11-K11</f>
        <v>0</v>
      </c>
      <c r="M11" s="264">
        <f t="shared" si="0"/>
        <v>0</v>
      </c>
      <c r="N11" s="265">
        <f t="shared" si="0"/>
        <v>0</v>
      </c>
      <c r="O11" s="265">
        <f t="shared" si="0"/>
        <v>0</v>
      </c>
      <c r="P11" s="265">
        <f t="shared" si="0"/>
        <v>0</v>
      </c>
      <c r="Q11" s="265">
        <f t="shared" si="0"/>
        <v>0</v>
      </c>
      <c r="R11" s="265">
        <f t="shared" si="0"/>
        <v>0</v>
      </c>
      <c r="S11" s="265">
        <f t="shared" si="0"/>
        <v>0</v>
      </c>
      <c r="T11" s="265">
        <f t="shared" si="0"/>
        <v>0</v>
      </c>
      <c r="U11" s="265">
        <f t="shared" si="0"/>
        <v>0</v>
      </c>
      <c r="V11" s="265">
        <f t="shared" si="0"/>
        <v>0</v>
      </c>
      <c r="W11" s="265">
        <f t="shared" si="1"/>
        <v>0</v>
      </c>
      <c r="X11" s="265">
        <f t="shared" si="1"/>
        <v>0</v>
      </c>
      <c r="Y11" s="265">
        <f t="shared" si="1"/>
        <v>0</v>
      </c>
      <c r="Z11" s="265">
        <f t="shared" si="1"/>
        <v>0</v>
      </c>
      <c r="AA11" s="265">
        <f t="shared" si="1"/>
        <v>0</v>
      </c>
      <c r="AB11" s="265">
        <f t="shared" si="1"/>
        <v>0</v>
      </c>
      <c r="AC11" s="265">
        <f t="shared" si="1"/>
        <v>0</v>
      </c>
      <c r="AD11" s="265">
        <f t="shared" si="1"/>
        <v>0</v>
      </c>
      <c r="AE11" s="265">
        <f t="shared" si="1"/>
        <v>0</v>
      </c>
      <c r="AF11" s="265">
        <f t="shared" si="1"/>
      </c>
    </row>
    <row r="12" spans="2:32" ht="15.75">
      <c r="B12" s="373" t="s">
        <v>91</v>
      </c>
      <c r="C12" s="374" t="s">
        <v>90</v>
      </c>
      <c r="D12" s="375">
        <v>0</v>
      </c>
      <c r="E12" s="348">
        <f>D12</f>
        <v>0</v>
      </c>
      <c r="F12" s="376">
        <v>0</v>
      </c>
      <c r="G12" s="376">
        <v>0</v>
      </c>
      <c r="H12" s="377">
        <v>0</v>
      </c>
      <c r="K12" s="262">
        <f>E12*H12</f>
        <v>0</v>
      </c>
      <c r="L12" s="266">
        <f>E12-K12</f>
        <v>0</v>
      </c>
      <c r="M12" s="264">
        <f t="shared" si="0"/>
        <v>0</v>
      </c>
      <c r="N12" s="265">
        <f t="shared" si="0"/>
        <v>0</v>
      </c>
      <c r="O12" s="265">
        <f t="shared" si="0"/>
        <v>0</v>
      </c>
      <c r="P12" s="265">
        <f t="shared" si="0"/>
        <v>0</v>
      </c>
      <c r="Q12" s="265">
        <f t="shared" si="0"/>
        <v>0</v>
      </c>
      <c r="R12" s="265">
        <f t="shared" si="0"/>
        <v>0</v>
      </c>
      <c r="S12" s="265">
        <f t="shared" si="0"/>
        <v>0</v>
      </c>
      <c r="T12" s="265">
        <f t="shared" si="0"/>
        <v>0</v>
      </c>
      <c r="U12" s="265">
        <f t="shared" si="0"/>
        <v>0</v>
      </c>
      <c r="V12" s="265">
        <f t="shared" si="0"/>
        <v>0</v>
      </c>
      <c r="W12" s="265">
        <f t="shared" si="1"/>
        <v>0</v>
      </c>
      <c r="X12" s="265">
        <f t="shared" si="1"/>
        <v>0</v>
      </c>
      <c r="Y12" s="265">
        <f t="shared" si="1"/>
        <v>0</v>
      </c>
      <c r="Z12" s="265">
        <f t="shared" si="1"/>
        <v>0</v>
      </c>
      <c r="AA12" s="265">
        <f t="shared" si="1"/>
        <v>0</v>
      </c>
      <c r="AB12" s="265">
        <f t="shared" si="1"/>
        <v>0</v>
      </c>
      <c r="AC12" s="265">
        <f t="shared" si="1"/>
        <v>0</v>
      </c>
      <c r="AD12" s="265">
        <f t="shared" si="1"/>
        <v>0</v>
      </c>
      <c r="AE12" s="265">
        <f t="shared" si="1"/>
        <v>0</v>
      </c>
      <c r="AF12" s="265">
        <f t="shared" si="1"/>
      </c>
    </row>
    <row r="13" spans="2:32" ht="15">
      <c r="B13" s="386" t="s">
        <v>92</v>
      </c>
      <c r="C13" s="378"/>
      <c r="D13" s="379"/>
      <c r="E13" s="379"/>
      <c r="F13" s="380"/>
      <c r="G13" s="380"/>
      <c r="H13" s="388"/>
      <c r="K13" s="262" t="s">
        <v>93</v>
      </c>
      <c r="L13" s="266" t="s">
        <v>93</v>
      </c>
      <c r="M13" s="264"/>
      <c r="N13" s="265"/>
      <c r="O13" s="265"/>
      <c r="P13" s="265"/>
      <c r="Q13" s="265"/>
      <c r="R13" s="265"/>
      <c r="S13" s="265"/>
      <c r="T13" s="265"/>
      <c r="U13" s="265"/>
      <c r="V13" s="265"/>
      <c r="W13" s="265"/>
      <c r="X13" s="265"/>
      <c r="Y13" s="265"/>
      <c r="Z13" s="265"/>
      <c r="AA13" s="265"/>
      <c r="AB13" s="265"/>
      <c r="AC13" s="265"/>
      <c r="AD13" s="265"/>
      <c r="AE13" s="265"/>
      <c r="AF13" s="265">
        <f>IF(AF$8&lt;$C$5,IF($G13=0,0,IF(($F13+$G13)&lt;=$C$5,$F13+AF$8*$G13,0)),"")</f>
      </c>
    </row>
    <row r="14" spans="2:32" ht="15.75">
      <c r="B14" s="373" t="s">
        <v>221</v>
      </c>
      <c r="C14" s="376">
        <v>0</v>
      </c>
      <c r="D14" s="375">
        <v>0</v>
      </c>
      <c r="E14" s="348">
        <f>C14*D14</f>
        <v>0</v>
      </c>
      <c r="F14" s="376">
        <v>0</v>
      </c>
      <c r="G14" s="376">
        <v>0</v>
      </c>
      <c r="H14" s="377">
        <v>0</v>
      </c>
      <c r="K14" s="262">
        <f>E14*H14</f>
        <v>0</v>
      </c>
      <c r="L14" s="266">
        <f>E14-K14</f>
        <v>0</v>
      </c>
      <c r="M14" s="264">
        <f aca="true" t="shared" si="2" ref="M14:V20">IF(M$8&lt;$C$5,IF($G14=0,0,IF(($F14+$G14)&lt;=$C$5,$F14+M$8*$G14,0)),"")</f>
        <v>0</v>
      </c>
      <c r="N14" s="265">
        <f t="shared" si="2"/>
        <v>0</v>
      </c>
      <c r="O14" s="265">
        <f t="shared" si="2"/>
        <v>0</v>
      </c>
      <c r="P14" s="265">
        <f t="shared" si="2"/>
        <v>0</v>
      </c>
      <c r="Q14" s="265">
        <f t="shared" si="2"/>
        <v>0</v>
      </c>
      <c r="R14" s="265">
        <f t="shared" si="2"/>
        <v>0</v>
      </c>
      <c r="S14" s="265">
        <f t="shared" si="2"/>
        <v>0</v>
      </c>
      <c r="T14" s="265">
        <f t="shared" si="2"/>
        <v>0</v>
      </c>
      <c r="U14" s="265">
        <f t="shared" si="2"/>
        <v>0</v>
      </c>
      <c r="V14" s="265">
        <f t="shared" si="2"/>
        <v>0</v>
      </c>
      <c r="W14" s="265">
        <f aca="true" t="shared" si="3" ref="W14:AF20">IF(W$8&lt;$C$5,IF($G14=0,0,IF(($F14+$G14)&lt;=$C$5,$F14+W$8*$G14,0)),"")</f>
        <v>0</v>
      </c>
      <c r="X14" s="265">
        <f t="shared" si="3"/>
        <v>0</v>
      </c>
      <c r="Y14" s="265">
        <f t="shared" si="3"/>
        <v>0</v>
      </c>
      <c r="Z14" s="265">
        <f t="shared" si="3"/>
        <v>0</v>
      </c>
      <c r="AA14" s="265">
        <f t="shared" si="3"/>
        <v>0</v>
      </c>
      <c r="AB14" s="265">
        <f t="shared" si="3"/>
        <v>0</v>
      </c>
      <c r="AC14" s="265">
        <f t="shared" si="3"/>
        <v>0</v>
      </c>
      <c r="AD14" s="265">
        <f t="shared" si="3"/>
        <v>0</v>
      </c>
      <c r="AE14" s="265">
        <f t="shared" si="3"/>
        <v>0</v>
      </c>
      <c r="AF14" s="265">
        <f>IF(AF$8&lt;$C$5,IF($G14=0,0,IF(($F14+$G14)&lt;=$C$5,$F14+AF$8*$G14,0)),"")</f>
      </c>
    </row>
    <row r="15" spans="2:32" ht="15.75">
      <c r="B15" s="373" t="s">
        <v>94</v>
      </c>
      <c r="C15" s="376">
        <v>0</v>
      </c>
      <c r="D15" s="375">
        <v>0</v>
      </c>
      <c r="E15" s="348">
        <f>C15*D15</f>
        <v>0</v>
      </c>
      <c r="F15" s="376">
        <v>0</v>
      </c>
      <c r="G15" s="376">
        <v>0</v>
      </c>
      <c r="H15" s="377">
        <v>0</v>
      </c>
      <c r="K15" s="262">
        <f>E15*H15</f>
        <v>0</v>
      </c>
      <c r="L15" s="266">
        <f>E15-K15</f>
        <v>0</v>
      </c>
      <c r="M15" s="264">
        <f t="shared" si="2"/>
        <v>0</v>
      </c>
      <c r="N15" s="265">
        <f t="shared" si="2"/>
        <v>0</v>
      </c>
      <c r="O15" s="265">
        <f t="shared" si="2"/>
        <v>0</v>
      </c>
      <c r="P15" s="265">
        <f t="shared" si="2"/>
        <v>0</v>
      </c>
      <c r="Q15" s="265">
        <f t="shared" si="2"/>
        <v>0</v>
      </c>
      <c r="R15" s="265">
        <f t="shared" si="2"/>
        <v>0</v>
      </c>
      <c r="S15" s="265">
        <f t="shared" si="2"/>
        <v>0</v>
      </c>
      <c r="T15" s="265">
        <f t="shared" si="2"/>
        <v>0</v>
      </c>
      <c r="U15" s="265">
        <f t="shared" si="2"/>
        <v>0</v>
      </c>
      <c r="V15" s="265">
        <f t="shared" si="2"/>
        <v>0</v>
      </c>
      <c r="W15" s="265">
        <f t="shared" si="3"/>
        <v>0</v>
      </c>
      <c r="X15" s="265">
        <f t="shared" si="3"/>
        <v>0</v>
      </c>
      <c r="Y15" s="265">
        <f t="shared" si="3"/>
        <v>0</v>
      </c>
      <c r="Z15" s="265">
        <f t="shared" si="3"/>
        <v>0</v>
      </c>
      <c r="AA15" s="265">
        <f t="shared" si="3"/>
        <v>0</v>
      </c>
      <c r="AB15" s="265">
        <f t="shared" si="3"/>
        <v>0</v>
      </c>
      <c r="AC15" s="265">
        <f t="shared" si="3"/>
        <v>0</v>
      </c>
      <c r="AD15" s="265">
        <f t="shared" si="3"/>
        <v>0</v>
      </c>
      <c r="AE15" s="265">
        <f t="shared" si="3"/>
        <v>0</v>
      </c>
      <c r="AF15" s="265">
        <f>IF(AF$8&lt;$C$5,IF($G15=0,0,IF(($F15+$G15)&lt;=$C$5,$F15+AF$8*$G15,0)),"")</f>
      </c>
    </row>
    <row r="16" spans="2:32" ht="15.75">
      <c r="B16" s="373" t="s">
        <v>94</v>
      </c>
      <c r="C16" s="376">
        <v>0</v>
      </c>
      <c r="D16" s="375">
        <v>0</v>
      </c>
      <c r="E16" s="348">
        <f>C16*D16</f>
        <v>0</v>
      </c>
      <c r="F16" s="376">
        <v>0</v>
      </c>
      <c r="G16" s="376">
        <v>0</v>
      </c>
      <c r="H16" s="377">
        <v>0</v>
      </c>
      <c r="K16" s="262">
        <f>E16*H16</f>
        <v>0</v>
      </c>
      <c r="L16" s="266">
        <f>E16-K16</f>
        <v>0</v>
      </c>
      <c r="M16" s="264">
        <f t="shared" si="2"/>
        <v>0</v>
      </c>
      <c r="N16" s="265">
        <f t="shared" si="2"/>
        <v>0</v>
      </c>
      <c r="O16" s="265">
        <f t="shared" si="2"/>
        <v>0</v>
      </c>
      <c r="P16" s="265">
        <f t="shared" si="2"/>
        <v>0</v>
      </c>
      <c r="Q16" s="265">
        <f t="shared" si="2"/>
        <v>0</v>
      </c>
      <c r="R16" s="265">
        <f t="shared" si="2"/>
        <v>0</v>
      </c>
      <c r="S16" s="265">
        <f t="shared" si="2"/>
        <v>0</v>
      </c>
      <c r="T16" s="265">
        <f t="shared" si="2"/>
        <v>0</v>
      </c>
      <c r="U16" s="265">
        <f t="shared" si="2"/>
        <v>0</v>
      </c>
      <c r="V16" s="265">
        <f t="shared" si="2"/>
        <v>0</v>
      </c>
      <c r="W16" s="265">
        <f t="shared" si="3"/>
        <v>0</v>
      </c>
      <c r="X16" s="265">
        <f t="shared" si="3"/>
        <v>0</v>
      </c>
      <c r="Y16" s="265">
        <f t="shared" si="3"/>
        <v>0</v>
      </c>
      <c r="Z16" s="265">
        <f t="shared" si="3"/>
        <v>0</v>
      </c>
      <c r="AA16" s="265">
        <f t="shared" si="3"/>
        <v>0</v>
      </c>
      <c r="AB16" s="265">
        <f t="shared" si="3"/>
        <v>0</v>
      </c>
      <c r="AC16" s="265">
        <f t="shared" si="3"/>
        <v>0</v>
      </c>
      <c r="AD16" s="265">
        <f t="shared" si="3"/>
        <v>0</v>
      </c>
      <c r="AE16" s="265">
        <f t="shared" si="3"/>
        <v>0</v>
      </c>
      <c r="AF16" s="265">
        <f>IF(AF$8&lt;$C$5,IF($G16=0,0,IF(($F16+$G16)&lt;=$C$5,$F16+AF$8*$G16,0)),"")</f>
      </c>
    </row>
    <row r="17" spans="2:32" ht="15">
      <c r="B17" s="386" t="s">
        <v>299</v>
      </c>
      <c r="C17" s="378"/>
      <c r="D17" s="379"/>
      <c r="E17" s="379"/>
      <c r="F17" s="380"/>
      <c r="G17" s="380"/>
      <c r="H17" s="388"/>
      <c r="K17" s="262"/>
      <c r="L17" s="266"/>
      <c r="M17" s="264"/>
      <c r="N17" s="265"/>
      <c r="O17" s="265"/>
      <c r="P17" s="265"/>
      <c r="Q17" s="265"/>
      <c r="R17" s="265"/>
      <c r="S17" s="265"/>
      <c r="T17" s="265"/>
      <c r="U17" s="265"/>
      <c r="V17" s="265"/>
      <c r="W17" s="265"/>
      <c r="X17" s="265"/>
      <c r="Y17" s="265"/>
      <c r="Z17" s="265"/>
      <c r="AA17" s="265"/>
      <c r="AB17" s="265"/>
      <c r="AC17" s="265"/>
      <c r="AD17" s="265"/>
      <c r="AE17" s="265"/>
      <c r="AF17" s="265"/>
    </row>
    <row r="18" spans="2:32" ht="15.75">
      <c r="B18" s="373" t="s">
        <v>300</v>
      </c>
      <c r="C18" s="216">
        <f>'Juveniles &amp; Nursery'!D36</f>
        <v>0</v>
      </c>
      <c r="D18" s="375">
        <v>0</v>
      </c>
      <c r="E18" s="348">
        <f>C18*D18</f>
        <v>0</v>
      </c>
      <c r="F18" s="376">
        <v>0</v>
      </c>
      <c r="G18" s="376">
        <v>0</v>
      </c>
      <c r="H18" s="377">
        <v>0</v>
      </c>
      <c r="K18" s="262">
        <f>E18*H18</f>
        <v>0</v>
      </c>
      <c r="L18" s="266">
        <f>E18-K18</f>
        <v>0</v>
      </c>
      <c r="M18" s="264">
        <f t="shared" si="2"/>
        <v>0</v>
      </c>
      <c r="N18" s="265">
        <f t="shared" si="2"/>
        <v>0</v>
      </c>
      <c r="O18" s="265">
        <f t="shared" si="2"/>
        <v>0</v>
      </c>
      <c r="P18" s="265">
        <f t="shared" si="2"/>
        <v>0</v>
      </c>
      <c r="Q18" s="265">
        <f t="shared" si="2"/>
        <v>0</v>
      </c>
      <c r="R18" s="265">
        <f t="shared" si="2"/>
        <v>0</v>
      </c>
      <c r="S18" s="265">
        <f t="shared" si="2"/>
        <v>0</v>
      </c>
      <c r="T18" s="265">
        <f t="shared" si="2"/>
        <v>0</v>
      </c>
      <c r="U18" s="265">
        <f t="shared" si="2"/>
        <v>0</v>
      </c>
      <c r="V18" s="265">
        <f t="shared" si="2"/>
        <v>0</v>
      </c>
      <c r="W18" s="265">
        <f t="shared" si="3"/>
        <v>0</v>
      </c>
      <c r="X18" s="265">
        <f t="shared" si="3"/>
        <v>0</v>
      </c>
      <c r="Y18" s="265">
        <f t="shared" si="3"/>
        <v>0</v>
      </c>
      <c r="Z18" s="265">
        <f t="shared" si="3"/>
        <v>0</v>
      </c>
      <c r="AA18" s="265">
        <f t="shared" si="3"/>
        <v>0</v>
      </c>
      <c r="AB18" s="265">
        <f t="shared" si="3"/>
        <v>0</v>
      </c>
      <c r="AC18" s="265">
        <f t="shared" si="3"/>
        <v>0</v>
      </c>
      <c r="AD18" s="265">
        <f t="shared" si="3"/>
        <v>0</v>
      </c>
      <c r="AE18" s="265">
        <f t="shared" si="3"/>
        <v>0</v>
      </c>
      <c r="AF18" s="265">
        <f t="shared" si="3"/>
      </c>
    </row>
    <row r="19" spans="2:32" ht="15.75">
      <c r="B19" s="373" t="s">
        <v>301</v>
      </c>
      <c r="C19" s="217">
        <f>C18*2</f>
        <v>0</v>
      </c>
      <c r="D19" s="375">
        <v>0</v>
      </c>
      <c r="E19" s="348">
        <f>C19*D19</f>
        <v>0</v>
      </c>
      <c r="F19" s="376">
        <v>0</v>
      </c>
      <c r="G19" s="376">
        <v>0</v>
      </c>
      <c r="H19" s="377">
        <v>0</v>
      </c>
      <c r="K19" s="262">
        <f>E19*H19</f>
        <v>0</v>
      </c>
      <c r="L19" s="266">
        <f>E19-K19</f>
        <v>0</v>
      </c>
      <c r="M19" s="264">
        <f t="shared" si="2"/>
        <v>0</v>
      </c>
      <c r="N19" s="265">
        <f t="shared" si="2"/>
        <v>0</v>
      </c>
      <c r="O19" s="265">
        <f t="shared" si="2"/>
        <v>0</v>
      </c>
      <c r="P19" s="265">
        <f t="shared" si="2"/>
        <v>0</v>
      </c>
      <c r="Q19" s="265">
        <f t="shared" si="2"/>
        <v>0</v>
      </c>
      <c r="R19" s="265">
        <f t="shared" si="2"/>
        <v>0</v>
      </c>
      <c r="S19" s="265">
        <f t="shared" si="2"/>
        <v>0</v>
      </c>
      <c r="T19" s="265">
        <f t="shared" si="2"/>
        <v>0</v>
      </c>
      <c r="U19" s="265">
        <f t="shared" si="2"/>
        <v>0</v>
      </c>
      <c r="V19" s="265">
        <f t="shared" si="2"/>
        <v>0</v>
      </c>
      <c r="W19" s="265">
        <f t="shared" si="3"/>
        <v>0</v>
      </c>
      <c r="X19" s="265">
        <f t="shared" si="3"/>
        <v>0</v>
      </c>
      <c r="Y19" s="265">
        <f t="shared" si="3"/>
        <v>0</v>
      </c>
      <c r="Z19" s="265">
        <f t="shared" si="3"/>
        <v>0</v>
      </c>
      <c r="AA19" s="265">
        <f t="shared" si="3"/>
        <v>0</v>
      </c>
      <c r="AB19" s="265">
        <f t="shared" si="3"/>
        <v>0</v>
      </c>
      <c r="AC19" s="265">
        <f t="shared" si="3"/>
        <v>0</v>
      </c>
      <c r="AD19" s="265">
        <f t="shared" si="3"/>
        <v>0</v>
      </c>
      <c r="AE19" s="265">
        <f t="shared" si="3"/>
        <v>0</v>
      </c>
      <c r="AF19" s="265">
        <f t="shared" si="3"/>
      </c>
    </row>
    <row r="20" spans="2:32" ht="15.75">
      <c r="B20" s="373" t="s">
        <v>94</v>
      </c>
      <c r="C20" s="376">
        <v>0</v>
      </c>
      <c r="D20" s="375">
        <v>0</v>
      </c>
      <c r="E20" s="348">
        <f>C20*D20</f>
        <v>0</v>
      </c>
      <c r="F20" s="376">
        <v>0</v>
      </c>
      <c r="G20" s="376">
        <v>0</v>
      </c>
      <c r="H20" s="377">
        <v>0</v>
      </c>
      <c r="K20" s="262">
        <f>E20*H20</f>
        <v>0</v>
      </c>
      <c r="L20" s="266">
        <f>E20-K20</f>
        <v>0</v>
      </c>
      <c r="M20" s="264">
        <f t="shared" si="2"/>
        <v>0</v>
      </c>
      <c r="N20" s="265">
        <f t="shared" si="2"/>
        <v>0</v>
      </c>
      <c r="O20" s="265">
        <f t="shared" si="2"/>
        <v>0</v>
      </c>
      <c r="P20" s="265">
        <f t="shared" si="2"/>
        <v>0</v>
      </c>
      <c r="Q20" s="265">
        <f t="shared" si="2"/>
        <v>0</v>
      </c>
      <c r="R20" s="265">
        <f t="shared" si="2"/>
        <v>0</v>
      </c>
      <c r="S20" s="265">
        <f t="shared" si="2"/>
        <v>0</v>
      </c>
      <c r="T20" s="265">
        <f t="shared" si="2"/>
        <v>0</v>
      </c>
      <c r="U20" s="265">
        <f t="shared" si="2"/>
        <v>0</v>
      </c>
      <c r="V20" s="265">
        <f t="shared" si="2"/>
        <v>0</v>
      </c>
      <c r="W20" s="265">
        <f t="shared" si="3"/>
        <v>0</v>
      </c>
      <c r="X20" s="265">
        <f t="shared" si="3"/>
        <v>0</v>
      </c>
      <c r="Y20" s="265">
        <f t="shared" si="3"/>
        <v>0</v>
      </c>
      <c r="Z20" s="265">
        <f t="shared" si="3"/>
        <v>0</v>
      </c>
      <c r="AA20" s="265">
        <f t="shared" si="3"/>
        <v>0</v>
      </c>
      <c r="AB20" s="265">
        <f t="shared" si="3"/>
        <v>0</v>
      </c>
      <c r="AC20" s="265">
        <f t="shared" si="3"/>
        <v>0</v>
      </c>
      <c r="AD20" s="265">
        <f t="shared" si="3"/>
        <v>0</v>
      </c>
      <c r="AE20" s="265">
        <f t="shared" si="3"/>
        <v>0</v>
      </c>
      <c r="AF20" s="265">
        <f t="shared" si="3"/>
      </c>
    </row>
    <row r="21" spans="2:32" ht="15">
      <c r="B21" s="386" t="s">
        <v>95</v>
      </c>
      <c r="C21" s="378"/>
      <c r="D21" s="379"/>
      <c r="E21" s="379"/>
      <c r="F21" s="380"/>
      <c r="G21" s="380"/>
      <c r="H21" s="388"/>
      <c r="K21" s="262" t="s">
        <v>93</v>
      </c>
      <c r="L21" s="266" t="s">
        <v>93</v>
      </c>
      <c r="M21" s="264"/>
      <c r="N21" s="265"/>
      <c r="O21" s="265"/>
      <c r="P21" s="265"/>
      <c r="Q21" s="265"/>
      <c r="R21" s="265"/>
      <c r="S21" s="265"/>
      <c r="T21" s="265"/>
      <c r="U21" s="265"/>
      <c r="V21" s="265"/>
      <c r="W21" s="265"/>
      <c r="X21" s="265"/>
      <c r="Y21" s="265"/>
      <c r="Z21" s="265"/>
      <c r="AA21" s="265"/>
      <c r="AB21" s="265"/>
      <c r="AC21" s="265"/>
      <c r="AD21" s="265"/>
      <c r="AE21" s="265"/>
      <c r="AF21" s="265"/>
    </row>
    <row r="22" spans="2:32" ht="15.75">
      <c r="B22" s="373" t="s">
        <v>109</v>
      </c>
      <c r="C22" s="216">
        <f>'Pond Description'!D6</f>
        <v>0</v>
      </c>
      <c r="D22" s="375">
        <v>0</v>
      </c>
      <c r="E22" s="348">
        <f>C22*D22</f>
        <v>0</v>
      </c>
      <c r="F22" s="376">
        <v>0</v>
      </c>
      <c r="G22" s="376">
        <v>0</v>
      </c>
      <c r="H22" s="377">
        <v>0</v>
      </c>
      <c r="K22" s="262">
        <f>E22*H22</f>
        <v>0</v>
      </c>
      <c r="L22" s="266">
        <f>E22-K22</f>
        <v>0</v>
      </c>
      <c r="M22" s="264">
        <f aca="true" t="shared" si="4" ref="M22:V23">IF(M$8&lt;$C$5,IF($G22=0,0,IF(($F22+$G22)&lt;=$C$5,$F22+M$8*$G22,0)),"")</f>
        <v>0</v>
      </c>
      <c r="N22" s="265">
        <f t="shared" si="4"/>
        <v>0</v>
      </c>
      <c r="O22" s="265">
        <f t="shared" si="4"/>
        <v>0</v>
      </c>
      <c r="P22" s="265">
        <f t="shared" si="4"/>
        <v>0</v>
      </c>
      <c r="Q22" s="265">
        <f t="shared" si="4"/>
        <v>0</v>
      </c>
      <c r="R22" s="265">
        <f t="shared" si="4"/>
        <v>0</v>
      </c>
      <c r="S22" s="265">
        <f t="shared" si="4"/>
        <v>0</v>
      </c>
      <c r="T22" s="265">
        <f t="shared" si="4"/>
        <v>0</v>
      </c>
      <c r="U22" s="265">
        <f t="shared" si="4"/>
        <v>0</v>
      </c>
      <c r="V22" s="265">
        <f t="shared" si="4"/>
        <v>0</v>
      </c>
      <c r="W22" s="265">
        <f aca="true" t="shared" si="5" ref="W22:AF23">IF(W$8&lt;$C$5,IF($G22=0,0,IF(($F22+$G22)&lt;=$C$5,$F22+W$8*$G22,0)),"")</f>
        <v>0</v>
      </c>
      <c r="X22" s="265">
        <f t="shared" si="5"/>
        <v>0</v>
      </c>
      <c r="Y22" s="265">
        <f t="shared" si="5"/>
        <v>0</v>
      </c>
      <c r="Z22" s="265">
        <f t="shared" si="5"/>
        <v>0</v>
      </c>
      <c r="AA22" s="265">
        <f t="shared" si="5"/>
        <v>0</v>
      </c>
      <c r="AB22" s="265">
        <f t="shared" si="5"/>
        <v>0</v>
      </c>
      <c r="AC22" s="265">
        <f t="shared" si="5"/>
        <v>0</v>
      </c>
      <c r="AD22" s="265">
        <f t="shared" si="5"/>
        <v>0</v>
      </c>
      <c r="AE22" s="265">
        <f t="shared" si="5"/>
        <v>0</v>
      </c>
      <c r="AF22" s="265">
        <f t="shared" si="5"/>
      </c>
    </row>
    <row r="23" spans="2:32" ht="15.75">
      <c r="B23" s="373" t="s">
        <v>96</v>
      </c>
      <c r="C23" s="217">
        <f>C22</f>
        <v>0</v>
      </c>
      <c r="D23" s="375">
        <v>0</v>
      </c>
      <c r="E23" s="348">
        <f>C23*D23</f>
        <v>0</v>
      </c>
      <c r="F23" s="376">
        <v>0</v>
      </c>
      <c r="G23" s="376">
        <v>0</v>
      </c>
      <c r="H23" s="377">
        <v>0</v>
      </c>
      <c r="K23" s="262">
        <f>E23*H23</f>
        <v>0</v>
      </c>
      <c r="L23" s="266">
        <f>E23-K23</f>
        <v>0</v>
      </c>
      <c r="M23" s="264">
        <f t="shared" si="4"/>
        <v>0</v>
      </c>
      <c r="N23" s="265">
        <f t="shared" si="4"/>
        <v>0</v>
      </c>
      <c r="O23" s="265">
        <f t="shared" si="4"/>
        <v>0</v>
      </c>
      <c r="P23" s="265">
        <f t="shared" si="4"/>
        <v>0</v>
      </c>
      <c r="Q23" s="265">
        <f t="shared" si="4"/>
        <v>0</v>
      </c>
      <c r="R23" s="265">
        <f t="shared" si="4"/>
        <v>0</v>
      </c>
      <c r="S23" s="265">
        <f t="shared" si="4"/>
        <v>0</v>
      </c>
      <c r="T23" s="265">
        <f t="shared" si="4"/>
        <v>0</v>
      </c>
      <c r="U23" s="265">
        <f t="shared" si="4"/>
        <v>0</v>
      </c>
      <c r="V23" s="265">
        <f t="shared" si="4"/>
        <v>0</v>
      </c>
      <c r="W23" s="265">
        <f t="shared" si="5"/>
        <v>0</v>
      </c>
      <c r="X23" s="265">
        <f t="shared" si="5"/>
        <v>0</v>
      </c>
      <c r="Y23" s="265">
        <f t="shared" si="5"/>
        <v>0</v>
      </c>
      <c r="Z23" s="265">
        <f t="shared" si="5"/>
        <v>0</v>
      </c>
      <c r="AA23" s="265">
        <f t="shared" si="5"/>
        <v>0</v>
      </c>
      <c r="AB23" s="265">
        <f t="shared" si="5"/>
        <v>0</v>
      </c>
      <c r="AC23" s="265">
        <f t="shared" si="5"/>
        <v>0</v>
      </c>
      <c r="AD23" s="265">
        <f t="shared" si="5"/>
        <v>0</v>
      </c>
      <c r="AE23" s="265">
        <f t="shared" si="5"/>
        <v>0</v>
      </c>
      <c r="AF23" s="265">
        <f t="shared" si="5"/>
      </c>
    </row>
    <row r="24" spans="2:32" ht="15.75">
      <c r="B24" s="373" t="s">
        <v>97</v>
      </c>
      <c r="C24" s="376">
        <v>0</v>
      </c>
      <c r="D24" s="375">
        <v>0</v>
      </c>
      <c r="E24" s="348">
        <f>C24*D24</f>
        <v>0</v>
      </c>
      <c r="F24" s="376">
        <v>0</v>
      </c>
      <c r="G24" s="376">
        <v>0</v>
      </c>
      <c r="H24" s="377">
        <v>0</v>
      </c>
      <c r="K24" s="262">
        <f>E24*H24</f>
        <v>0</v>
      </c>
      <c r="L24" s="266">
        <f>E24-K24</f>
        <v>0</v>
      </c>
      <c r="M24" s="264">
        <f aca="true" t="shared" si="6" ref="M24:V26">IF(M$8&lt;$C$5,IF($G24=0,0,IF(($F24+$G24)&lt;=$C$5,$F24+M$8*$G24,0)),"")</f>
        <v>0</v>
      </c>
      <c r="N24" s="265">
        <f t="shared" si="6"/>
        <v>0</v>
      </c>
      <c r="O24" s="265">
        <f t="shared" si="6"/>
        <v>0</v>
      </c>
      <c r="P24" s="265">
        <f t="shared" si="6"/>
        <v>0</v>
      </c>
      <c r="Q24" s="265">
        <f t="shared" si="6"/>
        <v>0</v>
      </c>
      <c r="R24" s="265">
        <f t="shared" si="6"/>
        <v>0</v>
      </c>
      <c r="S24" s="265">
        <f t="shared" si="6"/>
        <v>0</v>
      </c>
      <c r="T24" s="265">
        <f t="shared" si="6"/>
        <v>0</v>
      </c>
      <c r="U24" s="265">
        <f t="shared" si="6"/>
        <v>0</v>
      </c>
      <c r="V24" s="265">
        <f t="shared" si="6"/>
        <v>0</v>
      </c>
      <c r="W24" s="265">
        <f aca="true" t="shared" si="7" ref="W24:AE26">IF(W$8&lt;$C$5,IF($G24=0,0,IF(($F24+$G24)&lt;=$C$5,$F24+W$8*$G24,0)),"")</f>
        <v>0</v>
      </c>
      <c r="X24" s="265">
        <f t="shared" si="7"/>
        <v>0</v>
      </c>
      <c r="Y24" s="265">
        <f t="shared" si="7"/>
        <v>0</v>
      </c>
      <c r="Z24" s="265">
        <f t="shared" si="7"/>
        <v>0</v>
      </c>
      <c r="AA24" s="265">
        <f t="shared" si="7"/>
        <v>0</v>
      </c>
      <c r="AB24" s="265">
        <f t="shared" si="7"/>
        <v>0</v>
      </c>
      <c r="AC24" s="265">
        <f t="shared" si="7"/>
        <v>0</v>
      </c>
      <c r="AD24" s="265">
        <f t="shared" si="7"/>
        <v>0</v>
      </c>
      <c r="AE24" s="265">
        <f t="shared" si="7"/>
        <v>0</v>
      </c>
      <c r="AF24" s="265">
        <f>IF(AF$8&lt;$C$5,IF($G28=0,0,IF(($F28+$G28)&lt;=$C$5,$F28+AF$8*$G28,0)),"")</f>
      </c>
    </row>
    <row r="25" spans="2:32" ht="15.75">
      <c r="B25" s="373" t="s">
        <v>94</v>
      </c>
      <c r="C25" s="381">
        <v>0</v>
      </c>
      <c r="D25" s="375">
        <v>0</v>
      </c>
      <c r="E25" s="348">
        <f>C25*D25</f>
        <v>0</v>
      </c>
      <c r="F25" s="376">
        <v>0</v>
      </c>
      <c r="G25" s="376">
        <v>0</v>
      </c>
      <c r="H25" s="377">
        <v>0</v>
      </c>
      <c r="K25" s="262">
        <f>E25*H25</f>
        <v>0</v>
      </c>
      <c r="L25" s="266">
        <f>E25-K25</f>
        <v>0</v>
      </c>
      <c r="M25" s="264">
        <f t="shared" si="6"/>
        <v>0</v>
      </c>
      <c r="N25" s="265">
        <f t="shared" si="6"/>
        <v>0</v>
      </c>
      <c r="O25" s="265">
        <f t="shared" si="6"/>
        <v>0</v>
      </c>
      <c r="P25" s="265">
        <f t="shared" si="6"/>
        <v>0</v>
      </c>
      <c r="Q25" s="265">
        <f t="shared" si="6"/>
        <v>0</v>
      </c>
      <c r="R25" s="265">
        <f t="shared" si="6"/>
        <v>0</v>
      </c>
      <c r="S25" s="265">
        <f t="shared" si="6"/>
        <v>0</v>
      </c>
      <c r="T25" s="265">
        <f t="shared" si="6"/>
        <v>0</v>
      </c>
      <c r="U25" s="265">
        <f t="shared" si="6"/>
        <v>0</v>
      </c>
      <c r="V25" s="265">
        <f t="shared" si="6"/>
        <v>0</v>
      </c>
      <c r="W25" s="265">
        <f t="shared" si="7"/>
        <v>0</v>
      </c>
      <c r="X25" s="265">
        <f t="shared" si="7"/>
        <v>0</v>
      </c>
      <c r="Y25" s="265">
        <f t="shared" si="7"/>
        <v>0</v>
      </c>
      <c r="Z25" s="265">
        <f t="shared" si="7"/>
        <v>0</v>
      </c>
      <c r="AA25" s="265">
        <f t="shared" si="7"/>
        <v>0</v>
      </c>
      <c r="AB25" s="265">
        <f t="shared" si="7"/>
        <v>0</v>
      </c>
      <c r="AC25" s="265">
        <f t="shared" si="7"/>
        <v>0</v>
      </c>
      <c r="AD25" s="265">
        <f t="shared" si="7"/>
        <v>0</v>
      </c>
      <c r="AE25" s="265">
        <f t="shared" si="7"/>
        <v>0</v>
      </c>
      <c r="AF25" s="265">
        <f>IF(AF$8&lt;$C$5,IF(#REF!=0,0,IF((#REF!+#REF!)&lt;=$C$5,#REF!+AF$8*#REF!,0)),"")</f>
      </c>
    </row>
    <row r="26" spans="2:32" ht="15.75">
      <c r="B26" s="373" t="s">
        <v>94</v>
      </c>
      <c r="C26" s="381">
        <v>0</v>
      </c>
      <c r="D26" s="375">
        <v>0</v>
      </c>
      <c r="E26" s="348">
        <f>D26</f>
        <v>0</v>
      </c>
      <c r="F26" s="376">
        <v>0</v>
      </c>
      <c r="G26" s="376">
        <v>0</v>
      </c>
      <c r="H26" s="377">
        <v>0</v>
      </c>
      <c r="K26" s="262">
        <f>E26*H26</f>
        <v>0</v>
      </c>
      <c r="L26" s="266">
        <f>E26-K26</f>
        <v>0</v>
      </c>
      <c r="M26" s="264">
        <f t="shared" si="6"/>
        <v>0</v>
      </c>
      <c r="N26" s="265">
        <f t="shared" si="6"/>
        <v>0</v>
      </c>
      <c r="O26" s="265">
        <f t="shared" si="6"/>
        <v>0</v>
      </c>
      <c r="P26" s="265">
        <f t="shared" si="6"/>
        <v>0</v>
      </c>
      <c r="Q26" s="265">
        <f t="shared" si="6"/>
        <v>0</v>
      </c>
      <c r="R26" s="265">
        <f t="shared" si="6"/>
        <v>0</v>
      </c>
      <c r="S26" s="265">
        <f t="shared" si="6"/>
        <v>0</v>
      </c>
      <c r="T26" s="265">
        <f t="shared" si="6"/>
        <v>0</v>
      </c>
      <c r="U26" s="265">
        <f t="shared" si="6"/>
        <v>0</v>
      </c>
      <c r="V26" s="265">
        <f t="shared" si="6"/>
        <v>0</v>
      </c>
      <c r="W26" s="265">
        <f t="shared" si="7"/>
        <v>0</v>
      </c>
      <c r="X26" s="265">
        <f t="shared" si="7"/>
        <v>0</v>
      </c>
      <c r="Y26" s="265">
        <f t="shared" si="7"/>
        <v>0</v>
      </c>
      <c r="Z26" s="265">
        <f t="shared" si="7"/>
        <v>0</v>
      </c>
      <c r="AA26" s="265">
        <f t="shared" si="7"/>
        <v>0</v>
      </c>
      <c r="AB26" s="265">
        <f t="shared" si="7"/>
        <v>0</v>
      </c>
      <c r="AC26" s="265">
        <f t="shared" si="7"/>
        <v>0</v>
      </c>
      <c r="AD26" s="265">
        <f t="shared" si="7"/>
        <v>0</v>
      </c>
      <c r="AE26" s="265">
        <f t="shared" si="7"/>
        <v>0</v>
      </c>
      <c r="AF26" s="265">
        <f>IF(AF$8&lt;$C$5,IF(#REF!=0,0,IF((#REF!+#REF!)&lt;=$C$5,#REF!+AF$8*#REF!,0)),"")</f>
      </c>
    </row>
    <row r="27" spans="2:32" ht="15">
      <c r="B27" s="386" t="s">
        <v>98</v>
      </c>
      <c r="C27" s="378"/>
      <c r="D27" s="379"/>
      <c r="E27" s="379"/>
      <c r="F27" s="380"/>
      <c r="G27" s="380"/>
      <c r="H27" s="388"/>
      <c r="K27" s="262"/>
      <c r="L27" s="266"/>
      <c r="M27" s="264"/>
      <c r="N27" s="265"/>
      <c r="O27" s="265"/>
      <c r="P27" s="265"/>
      <c r="Q27" s="265"/>
      <c r="R27" s="265"/>
      <c r="S27" s="265"/>
      <c r="T27" s="265"/>
      <c r="U27" s="265"/>
      <c r="V27" s="265"/>
      <c r="W27" s="265"/>
      <c r="X27" s="265"/>
      <c r="Y27" s="265"/>
      <c r="Z27" s="265"/>
      <c r="AA27" s="265"/>
      <c r="AB27" s="265"/>
      <c r="AC27" s="265"/>
      <c r="AD27" s="265"/>
      <c r="AE27" s="265"/>
      <c r="AF27" s="265"/>
    </row>
    <row r="28" spans="2:32" ht="15.75">
      <c r="B28" s="373" t="s">
        <v>99</v>
      </c>
      <c r="C28" s="376">
        <v>0</v>
      </c>
      <c r="D28" s="375">
        <v>0</v>
      </c>
      <c r="E28" s="348">
        <f>C28*D28</f>
        <v>0</v>
      </c>
      <c r="F28" s="376">
        <v>0</v>
      </c>
      <c r="G28" s="376">
        <v>0</v>
      </c>
      <c r="H28" s="377">
        <v>0</v>
      </c>
      <c r="K28" s="262">
        <f aca="true" t="shared" si="8" ref="K28:K36">E28*H28</f>
        <v>0</v>
      </c>
      <c r="L28" s="266">
        <f aca="true" t="shared" si="9" ref="L28:L36">E28-K28</f>
        <v>0</v>
      </c>
      <c r="M28" s="264">
        <f aca="true" t="shared" si="10" ref="M28:V36">IF(M$8&lt;$C$5,IF($G28=0,0,IF(($F28+$G28)&lt;=$C$5,$F28+M$8*$G28,0)),"")</f>
        <v>0</v>
      </c>
      <c r="N28" s="265">
        <f t="shared" si="10"/>
        <v>0</v>
      </c>
      <c r="O28" s="265">
        <f t="shared" si="10"/>
        <v>0</v>
      </c>
      <c r="P28" s="265">
        <f t="shared" si="10"/>
        <v>0</v>
      </c>
      <c r="Q28" s="265">
        <f t="shared" si="10"/>
        <v>0</v>
      </c>
      <c r="R28" s="265">
        <f t="shared" si="10"/>
        <v>0</v>
      </c>
      <c r="S28" s="265">
        <f t="shared" si="10"/>
        <v>0</v>
      </c>
      <c r="T28" s="265">
        <f t="shared" si="10"/>
        <v>0</v>
      </c>
      <c r="U28" s="265">
        <f t="shared" si="10"/>
        <v>0</v>
      </c>
      <c r="V28" s="265">
        <f t="shared" si="10"/>
        <v>0</v>
      </c>
      <c r="W28" s="265">
        <f aca="true" t="shared" si="11" ref="W28:AE36">IF(W$8&lt;$C$5,IF($G28=0,0,IF(($F28+$G28)&lt;=$C$5,$F28+W$8*$G28,0)),"")</f>
        <v>0</v>
      </c>
      <c r="X28" s="265">
        <f t="shared" si="11"/>
        <v>0</v>
      </c>
      <c r="Y28" s="265">
        <f t="shared" si="11"/>
        <v>0</v>
      </c>
      <c r="Z28" s="265">
        <f t="shared" si="11"/>
        <v>0</v>
      </c>
      <c r="AA28" s="265">
        <f t="shared" si="11"/>
        <v>0</v>
      </c>
      <c r="AB28" s="265">
        <f t="shared" si="11"/>
        <v>0</v>
      </c>
      <c r="AC28" s="265">
        <f t="shared" si="11"/>
        <v>0</v>
      </c>
      <c r="AD28" s="265">
        <f t="shared" si="11"/>
        <v>0</v>
      </c>
      <c r="AE28" s="265">
        <f t="shared" si="11"/>
        <v>0</v>
      </c>
      <c r="AF28" s="265"/>
    </row>
    <row r="29" spans="2:32" ht="15.75">
      <c r="B29" s="373" t="s">
        <v>100</v>
      </c>
      <c r="C29" s="376">
        <v>0</v>
      </c>
      <c r="D29" s="375">
        <v>0</v>
      </c>
      <c r="E29" s="348">
        <f>C29*D29</f>
        <v>0</v>
      </c>
      <c r="F29" s="376">
        <v>0</v>
      </c>
      <c r="G29" s="376">
        <v>0</v>
      </c>
      <c r="H29" s="377">
        <v>0</v>
      </c>
      <c r="K29" s="262">
        <f t="shared" si="8"/>
        <v>0</v>
      </c>
      <c r="L29" s="266">
        <f t="shared" si="9"/>
        <v>0</v>
      </c>
      <c r="M29" s="264">
        <f t="shared" si="10"/>
        <v>0</v>
      </c>
      <c r="N29" s="265">
        <f t="shared" si="10"/>
        <v>0</v>
      </c>
      <c r="O29" s="265">
        <f t="shared" si="10"/>
        <v>0</v>
      </c>
      <c r="P29" s="265">
        <f t="shared" si="10"/>
        <v>0</v>
      </c>
      <c r="Q29" s="265">
        <f t="shared" si="10"/>
        <v>0</v>
      </c>
      <c r="R29" s="265">
        <f t="shared" si="10"/>
        <v>0</v>
      </c>
      <c r="S29" s="265">
        <f t="shared" si="10"/>
        <v>0</v>
      </c>
      <c r="T29" s="265">
        <f t="shared" si="10"/>
        <v>0</v>
      </c>
      <c r="U29" s="265">
        <f t="shared" si="10"/>
        <v>0</v>
      </c>
      <c r="V29" s="265">
        <f t="shared" si="10"/>
        <v>0</v>
      </c>
      <c r="W29" s="265">
        <f t="shared" si="11"/>
        <v>0</v>
      </c>
      <c r="X29" s="265">
        <f t="shared" si="11"/>
        <v>0</v>
      </c>
      <c r="Y29" s="265">
        <f t="shared" si="11"/>
        <v>0</v>
      </c>
      <c r="Z29" s="265">
        <f t="shared" si="11"/>
        <v>0</v>
      </c>
      <c r="AA29" s="265">
        <f t="shared" si="11"/>
        <v>0</v>
      </c>
      <c r="AB29" s="265">
        <f t="shared" si="11"/>
        <v>0</v>
      </c>
      <c r="AC29" s="265">
        <f t="shared" si="11"/>
        <v>0</v>
      </c>
      <c r="AD29" s="265">
        <f t="shared" si="11"/>
        <v>0</v>
      </c>
      <c r="AE29" s="265">
        <f t="shared" si="11"/>
        <v>0</v>
      </c>
      <c r="AF29" s="265">
        <f>IF(AF$8&lt;$C$5,IF($G25=0,0,IF(($F25+$G25)&lt;=$C$5,$F25+AF$8*$G25,0)),"")</f>
      </c>
    </row>
    <row r="30" spans="2:32" ht="15.75">
      <c r="B30" s="373" t="s">
        <v>101</v>
      </c>
      <c r="C30" s="376">
        <v>1</v>
      </c>
      <c r="D30" s="375">
        <v>0</v>
      </c>
      <c r="E30" s="348">
        <f>C30*D30</f>
        <v>0</v>
      </c>
      <c r="F30" s="376">
        <v>0</v>
      </c>
      <c r="G30" s="376">
        <v>0</v>
      </c>
      <c r="H30" s="377">
        <v>0</v>
      </c>
      <c r="K30" s="262">
        <f t="shared" si="8"/>
        <v>0</v>
      </c>
      <c r="L30" s="266">
        <f t="shared" si="9"/>
        <v>0</v>
      </c>
      <c r="M30" s="264">
        <f t="shared" si="10"/>
        <v>0</v>
      </c>
      <c r="N30" s="265">
        <f t="shared" si="10"/>
        <v>0</v>
      </c>
      <c r="O30" s="265">
        <f t="shared" si="10"/>
        <v>0</v>
      </c>
      <c r="P30" s="265">
        <f t="shared" si="10"/>
        <v>0</v>
      </c>
      <c r="Q30" s="265">
        <f t="shared" si="10"/>
        <v>0</v>
      </c>
      <c r="R30" s="265">
        <f t="shared" si="10"/>
        <v>0</v>
      </c>
      <c r="S30" s="265">
        <f t="shared" si="10"/>
        <v>0</v>
      </c>
      <c r="T30" s="265">
        <f t="shared" si="10"/>
        <v>0</v>
      </c>
      <c r="U30" s="265">
        <f t="shared" si="10"/>
        <v>0</v>
      </c>
      <c r="V30" s="265">
        <f t="shared" si="10"/>
        <v>0</v>
      </c>
      <c r="W30" s="265">
        <f t="shared" si="11"/>
        <v>0</v>
      </c>
      <c r="X30" s="265">
        <f t="shared" si="11"/>
        <v>0</v>
      </c>
      <c r="Y30" s="265">
        <f t="shared" si="11"/>
        <v>0</v>
      </c>
      <c r="Z30" s="265">
        <f t="shared" si="11"/>
        <v>0</v>
      </c>
      <c r="AA30" s="265">
        <f t="shared" si="11"/>
        <v>0</v>
      </c>
      <c r="AB30" s="265">
        <f t="shared" si="11"/>
        <v>0</v>
      </c>
      <c r="AC30" s="265">
        <f t="shared" si="11"/>
        <v>0</v>
      </c>
      <c r="AD30" s="265">
        <f t="shared" si="11"/>
        <v>0</v>
      </c>
      <c r="AE30" s="265">
        <f t="shared" si="11"/>
        <v>0</v>
      </c>
      <c r="AF30" s="265">
        <f aca="true" t="shared" si="12" ref="AF30:AF36">IF(AF$8&lt;$C$5,IF($G30=0,0,IF(($F30+$G30)&lt;=$C$5,$F30+AF$8*$G30,0)),"")</f>
      </c>
    </row>
    <row r="31" spans="2:32" ht="15.75">
      <c r="B31" s="373" t="s">
        <v>102</v>
      </c>
      <c r="C31" s="374">
        <v>1</v>
      </c>
      <c r="D31" s="375">
        <v>0</v>
      </c>
      <c r="E31" s="348">
        <f>D31</f>
        <v>0</v>
      </c>
      <c r="F31" s="376">
        <v>0</v>
      </c>
      <c r="G31" s="376">
        <v>0</v>
      </c>
      <c r="H31" s="377">
        <v>0</v>
      </c>
      <c r="K31" s="262">
        <f t="shared" si="8"/>
        <v>0</v>
      </c>
      <c r="L31" s="266">
        <f t="shared" si="9"/>
        <v>0</v>
      </c>
      <c r="M31" s="264">
        <f t="shared" si="10"/>
        <v>0</v>
      </c>
      <c r="N31" s="265">
        <f t="shared" si="10"/>
        <v>0</v>
      </c>
      <c r="O31" s="265">
        <f t="shared" si="10"/>
        <v>0</v>
      </c>
      <c r="P31" s="265">
        <f t="shared" si="10"/>
        <v>0</v>
      </c>
      <c r="Q31" s="265">
        <f t="shared" si="10"/>
        <v>0</v>
      </c>
      <c r="R31" s="265">
        <f t="shared" si="10"/>
        <v>0</v>
      </c>
      <c r="S31" s="265">
        <f t="shared" si="10"/>
        <v>0</v>
      </c>
      <c r="T31" s="265">
        <f t="shared" si="10"/>
        <v>0</v>
      </c>
      <c r="U31" s="265">
        <f t="shared" si="10"/>
        <v>0</v>
      </c>
      <c r="V31" s="265">
        <f t="shared" si="10"/>
        <v>0</v>
      </c>
      <c r="W31" s="265">
        <f t="shared" si="11"/>
        <v>0</v>
      </c>
      <c r="X31" s="265">
        <f t="shared" si="11"/>
        <v>0</v>
      </c>
      <c r="Y31" s="265">
        <f t="shared" si="11"/>
        <v>0</v>
      </c>
      <c r="Z31" s="265">
        <f t="shared" si="11"/>
        <v>0</v>
      </c>
      <c r="AA31" s="265">
        <f t="shared" si="11"/>
        <v>0</v>
      </c>
      <c r="AB31" s="265">
        <f t="shared" si="11"/>
        <v>0</v>
      </c>
      <c r="AC31" s="265">
        <f t="shared" si="11"/>
        <v>0</v>
      </c>
      <c r="AD31" s="265">
        <f t="shared" si="11"/>
        <v>0</v>
      </c>
      <c r="AE31" s="265">
        <f t="shared" si="11"/>
        <v>0</v>
      </c>
      <c r="AF31" s="265">
        <f t="shared" si="12"/>
      </c>
    </row>
    <row r="32" spans="2:32" ht="15.75">
      <c r="B32" s="373" t="s">
        <v>103</v>
      </c>
      <c r="C32" s="376">
        <v>0</v>
      </c>
      <c r="D32" s="375">
        <v>0</v>
      </c>
      <c r="E32" s="348">
        <f>D32</f>
        <v>0</v>
      </c>
      <c r="F32" s="376">
        <v>0</v>
      </c>
      <c r="G32" s="376">
        <v>0</v>
      </c>
      <c r="H32" s="377">
        <v>0</v>
      </c>
      <c r="K32" s="262">
        <f t="shared" si="8"/>
        <v>0</v>
      </c>
      <c r="L32" s="266">
        <f t="shared" si="9"/>
        <v>0</v>
      </c>
      <c r="M32" s="264">
        <f t="shared" si="10"/>
        <v>0</v>
      </c>
      <c r="N32" s="265">
        <f t="shared" si="10"/>
        <v>0</v>
      </c>
      <c r="O32" s="265">
        <f t="shared" si="10"/>
        <v>0</v>
      </c>
      <c r="P32" s="265">
        <f t="shared" si="10"/>
        <v>0</v>
      </c>
      <c r="Q32" s="265">
        <f t="shared" si="10"/>
        <v>0</v>
      </c>
      <c r="R32" s="265">
        <f t="shared" si="10"/>
        <v>0</v>
      </c>
      <c r="S32" s="265">
        <f t="shared" si="10"/>
        <v>0</v>
      </c>
      <c r="T32" s="265">
        <f t="shared" si="10"/>
        <v>0</v>
      </c>
      <c r="U32" s="265">
        <f t="shared" si="10"/>
        <v>0</v>
      </c>
      <c r="V32" s="265">
        <f t="shared" si="10"/>
        <v>0</v>
      </c>
      <c r="W32" s="265">
        <f t="shared" si="11"/>
        <v>0</v>
      </c>
      <c r="X32" s="265">
        <f t="shared" si="11"/>
        <v>0</v>
      </c>
      <c r="Y32" s="265">
        <f t="shared" si="11"/>
        <v>0</v>
      </c>
      <c r="Z32" s="265">
        <f t="shared" si="11"/>
        <v>0</v>
      </c>
      <c r="AA32" s="265">
        <f t="shared" si="11"/>
        <v>0</v>
      </c>
      <c r="AB32" s="265">
        <f t="shared" si="11"/>
        <v>0</v>
      </c>
      <c r="AC32" s="265">
        <f t="shared" si="11"/>
        <v>0</v>
      </c>
      <c r="AD32" s="265">
        <f t="shared" si="11"/>
        <v>0</v>
      </c>
      <c r="AE32" s="265">
        <f t="shared" si="11"/>
        <v>0</v>
      </c>
      <c r="AF32" s="265">
        <f t="shared" si="12"/>
      </c>
    </row>
    <row r="33" spans="2:32" ht="15.75">
      <c r="B33" s="373" t="s">
        <v>167</v>
      </c>
      <c r="C33" s="374" t="s">
        <v>90</v>
      </c>
      <c r="D33" s="375">
        <v>0</v>
      </c>
      <c r="E33" s="348">
        <f>D33</f>
        <v>0</v>
      </c>
      <c r="F33" s="376">
        <v>0</v>
      </c>
      <c r="G33" s="376">
        <v>0</v>
      </c>
      <c r="H33" s="377">
        <v>0</v>
      </c>
      <c r="K33" s="262">
        <f t="shared" si="8"/>
        <v>0</v>
      </c>
      <c r="L33" s="266">
        <f t="shared" si="9"/>
        <v>0</v>
      </c>
      <c r="M33" s="264">
        <f t="shared" si="10"/>
        <v>0</v>
      </c>
      <c r="N33" s="265">
        <f t="shared" si="10"/>
        <v>0</v>
      </c>
      <c r="O33" s="265">
        <f t="shared" si="10"/>
        <v>0</v>
      </c>
      <c r="P33" s="265">
        <f t="shared" si="10"/>
        <v>0</v>
      </c>
      <c r="Q33" s="265">
        <f t="shared" si="10"/>
        <v>0</v>
      </c>
      <c r="R33" s="265">
        <f t="shared" si="10"/>
        <v>0</v>
      </c>
      <c r="S33" s="265">
        <f t="shared" si="10"/>
        <v>0</v>
      </c>
      <c r="T33" s="265">
        <f t="shared" si="10"/>
        <v>0</v>
      </c>
      <c r="U33" s="265">
        <f t="shared" si="10"/>
        <v>0</v>
      </c>
      <c r="V33" s="265">
        <f t="shared" si="10"/>
        <v>0</v>
      </c>
      <c r="W33" s="265">
        <f t="shared" si="11"/>
        <v>0</v>
      </c>
      <c r="X33" s="265">
        <f t="shared" si="11"/>
        <v>0</v>
      </c>
      <c r="Y33" s="265">
        <f t="shared" si="11"/>
        <v>0</v>
      </c>
      <c r="Z33" s="265">
        <f t="shared" si="11"/>
        <v>0</v>
      </c>
      <c r="AA33" s="265">
        <f t="shared" si="11"/>
        <v>0</v>
      </c>
      <c r="AB33" s="265">
        <f t="shared" si="11"/>
        <v>0</v>
      </c>
      <c r="AC33" s="265">
        <f t="shared" si="11"/>
        <v>0</v>
      </c>
      <c r="AD33" s="265">
        <f t="shared" si="11"/>
        <v>0</v>
      </c>
      <c r="AE33" s="265">
        <f t="shared" si="11"/>
        <v>0</v>
      </c>
      <c r="AF33" s="265">
        <f t="shared" si="12"/>
      </c>
    </row>
    <row r="34" spans="2:32" ht="15.75">
      <c r="B34" s="373" t="s">
        <v>104</v>
      </c>
      <c r="C34" s="374">
        <v>1</v>
      </c>
      <c r="D34" s="375">
        <v>0</v>
      </c>
      <c r="E34" s="348">
        <f>D34</f>
        <v>0</v>
      </c>
      <c r="F34" s="376">
        <v>0</v>
      </c>
      <c r="G34" s="376">
        <v>0</v>
      </c>
      <c r="H34" s="377">
        <v>0</v>
      </c>
      <c r="K34" s="262">
        <f t="shared" si="8"/>
        <v>0</v>
      </c>
      <c r="L34" s="266">
        <f t="shared" si="9"/>
        <v>0</v>
      </c>
      <c r="M34" s="264">
        <f t="shared" si="10"/>
        <v>0</v>
      </c>
      <c r="N34" s="265">
        <f t="shared" si="10"/>
        <v>0</v>
      </c>
      <c r="O34" s="265">
        <f t="shared" si="10"/>
        <v>0</v>
      </c>
      <c r="P34" s="265">
        <f t="shared" si="10"/>
        <v>0</v>
      </c>
      <c r="Q34" s="265">
        <f t="shared" si="10"/>
        <v>0</v>
      </c>
      <c r="R34" s="265">
        <f t="shared" si="10"/>
        <v>0</v>
      </c>
      <c r="S34" s="265">
        <f t="shared" si="10"/>
        <v>0</v>
      </c>
      <c r="T34" s="265">
        <f t="shared" si="10"/>
        <v>0</v>
      </c>
      <c r="U34" s="265">
        <f t="shared" si="10"/>
        <v>0</v>
      </c>
      <c r="V34" s="265">
        <f t="shared" si="10"/>
        <v>0</v>
      </c>
      <c r="W34" s="265">
        <f t="shared" si="11"/>
        <v>0</v>
      </c>
      <c r="X34" s="265">
        <f t="shared" si="11"/>
        <v>0</v>
      </c>
      <c r="Y34" s="265">
        <f t="shared" si="11"/>
        <v>0</v>
      </c>
      <c r="Z34" s="265">
        <f t="shared" si="11"/>
        <v>0</v>
      </c>
      <c r="AA34" s="265">
        <f t="shared" si="11"/>
        <v>0</v>
      </c>
      <c r="AB34" s="265">
        <f t="shared" si="11"/>
        <v>0</v>
      </c>
      <c r="AC34" s="265">
        <f t="shared" si="11"/>
        <v>0</v>
      </c>
      <c r="AD34" s="265">
        <f t="shared" si="11"/>
        <v>0</v>
      </c>
      <c r="AE34" s="265">
        <f t="shared" si="11"/>
        <v>0</v>
      </c>
      <c r="AF34" s="267">
        <f t="shared" si="12"/>
      </c>
    </row>
    <row r="35" spans="2:32" ht="15.75">
      <c r="B35" s="373" t="s">
        <v>94</v>
      </c>
      <c r="C35" s="321">
        <v>0</v>
      </c>
      <c r="D35" s="375">
        <v>0</v>
      </c>
      <c r="E35" s="348">
        <f>C35*D35</f>
        <v>0</v>
      </c>
      <c r="F35" s="376">
        <v>0</v>
      </c>
      <c r="G35" s="376">
        <v>0</v>
      </c>
      <c r="H35" s="377">
        <v>0</v>
      </c>
      <c r="K35" s="262">
        <f t="shared" si="8"/>
        <v>0</v>
      </c>
      <c r="L35" s="266">
        <f t="shared" si="9"/>
        <v>0</v>
      </c>
      <c r="M35" s="264">
        <f t="shared" si="10"/>
        <v>0</v>
      </c>
      <c r="N35" s="265">
        <f t="shared" si="10"/>
        <v>0</v>
      </c>
      <c r="O35" s="265">
        <f t="shared" si="10"/>
        <v>0</v>
      </c>
      <c r="P35" s="265">
        <f t="shared" si="10"/>
        <v>0</v>
      </c>
      <c r="Q35" s="265">
        <f t="shared" si="10"/>
        <v>0</v>
      </c>
      <c r="R35" s="265">
        <f t="shared" si="10"/>
        <v>0</v>
      </c>
      <c r="S35" s="265">
        <f t="shared" si="10"/>
        <v>0</v>
      </c>
      <c r="T35" s="265">
        <f t="shared" si="10"/>
        <v>0</v>
      </c>
      <c r="U35" s="265">
        <f t="shared" si="10"/>
        <v>0</v>
      </c>
      <c r="V35" s="265">
        <f t="shared" si="10"/>
        <v>0</v>
      </c>
      <c r="W35" s="265">
        <f t="shared" si="11"/>
        <v>0</v>
      </c>
      <c r="X35" s="265">
        <f t="shared" si="11"/>
        <v>0</v>
      </c>
      <c r="Y35" s="265">
        <f t="shared" si="11"/>
        <v>0</v>
      </c>
      <c r="Z35" s="265">
        <f t="shared" si="11"/>
        <v>0</v>
      </c>
      <c r="AA35" s="265">
        <f t="shared" si="11"/>
        <v>0</v>
      </c>
      <c r="AB35" s="265">
        <f t="shared" si="11"/>
        <v>0</v>
      </c>
      <c r="AC35" s="265">
        <f t="shared" si="11"/>
        <v>0</v>
      </c>
      <c r="AD35" s="265">
        <f t="shared" si="11"/>
        <v>0</v>
      </c>
      <c r="AE35" s="265">
        <f t="shared" si="11"/>
        <v>0</v>
      </c>
      <c r="AF35" s="265">
        <f t="shared" si="12"/>
      </c>
    </row>
    <row r="36" spans="2:32" ht="16.5" thickBot="1">
      <c r="B36" s="373" t="s">
        <v>94</v>
      </c>
      <c r="C36" s="376">
        <v>0</v>
      </c>
      <c r="D36" s="375">
        <v>0</v>
      </c>
      <c r="E36" s="348">
        <f>C36*D36</f>
        <v>0</v>
      </c>
      <c r="F36" s="376">
        <v>0</v>
      </c>
      <c r="G36" s="376">
        <v>0</v>
      </c>
      <c r="H36" s="377">
        <v>0</v>
      </c>
      <c r="K36" s="268">
        <f t="shared" si="8"/>
        <v>0</v>
      </c>
      <c r="L36" s="269">
        <f t="shared" si="9"/>
        <v>0</v>
      </c>
      <c r="M36" s="270">
        <f t="shared" si="10"/>
        <v>0</v>
      </c>
      <c r="N36" s="271">
        <f t="shared" si="10"/>
        <v>0</v>
      </c>
      <c r="O36" s="271">
        <f t="shared" si="10"/>
        <v>0</v>
      </c>
      <c r="P36" s="271">
        <f t="shared" si="10"/>
        <v>0</v>
      </c>
      <c r="Q36" s="271">
        <f t="shared" si="10"/>
        <v>0</v>
      </c>
      <c r="R36" s="271">
        <f t="shared" si="10"/>
        <v>0</v>
      </c>
      <c r="S36" s="271">
        <f t="shared" si="10"/>
        <v>0</v>
      </c>
      <c r="T36" s="271">
        <f t="shared" si="10"/>
        <v>0</v>
      </c>
      <c r="U36" s="271">
        <f t="shared" si="10"/>
        <v>0</v>
      </c>
      <c r="V36" s="271">
        <f t="shared" si="10"/>
        <v>0</v>
      </c>
      <c r="W36" s="271">
        <f t="shared" si="11"/>
        <v>0</v>
      </c>
      <c r="X36" s="271">
        <f t="shared" si="11"/>
        <v>0</v>
      </c>
      <c r="Y36" s="271">
        <f t="shared" si="11"/>
        <v>0</v>
      </c>
      <c r="Z36" s="271">
        <f t="shared" si="11"/>
        <v>0</v>
      </c>
      <c r="AA36" s="271">
        <f t="shared" si="11"/>
        <v>0</v>
      </c>
      <c r="AB36" s="271">
        <f t="shared" si="11"/>
        <v>0</v>
      </c>
      <c r="AC36" s="271">
        <f t="shared" si="11"/>
        <v>0</v>
      </c>
      <c r="AD36" s="271">
        <f t="shared" si="11"/>
        <v>0</v>
      </c>
      <c r="AE36" s="271">
        <f t="shared" si="11"/>
        <v>0</v>
      </c>
      <c r="AF36" s="271">
        <f t="shared" si="12"/>
      </c>
    </row>
    <row r="37" spans="2:8" ht="16.5" thickBot="1">
      <c r="B37" s="382" t="s">
        <v>105</v>
      </c>
      <c r="C37" s="383"/>
      <c r="D37" s="384"/>
      <c r="E37" s="385">
        <f>SUM($E$9:$E$36)</f>
        <v>0</v>
      </c>
      <c r="F37" s="272"/>
      <c r="G37" s="272"/>
      <c r="H37" s="272"/>
    </row>
    <row r="38" spans="2:34" ht="16.5" thickBot="1">
      <c r="B38" s="241"/>
      <c r="C38" s="235"/>
      <c r="D38" s="245"/>
      <c r="K38" s="273" t="s">
        <v>30</v>
      </c>
      <c r="L38" s="274" t="s">
        <v>106</v>
      </c>
      <c r="M38" s="273">
        <v>1</v>
      </c>
      <c r="N38" s="273">
        <v>2</v>
      </c>
      <c r="O38" s="273">
        <v>3</v>
      </c>
      <c r="P38" s="273">
        <v>4</v>
      </c>
      <c r="Q38" s="273">
        <v>5</v>
      </c>
      <c r="R38" s="273">
        <v>6</v>
      </c>
      <c r="S38" s="273">
        <v>7</v>
      </c>
      <c r="T38" s="273">
        <v>8</v>
      </c>
      <c r="U38" s="273">
        <v>9</v>
      </c>
      <c r="V38" s="273">
        <v>10</v>
      </c>
      <c r="W38" s="273">
        <v>11</v>
      </c>
      <c r="X38" s="273">
        <v>12</v>
      </c>
      <c r="Y38" s="273">
        <v>13</v>
      </c>
      <c r="Z38" s="273">
        <v>14</v>
      </c>
      <c r="AA38" s="273">
        <v>15</v>
      </c>
      <c r="AB38" s="273">
        <v>16</v>
      </c>
      <c r="AC38" s="273">
        <v>17</v>
      </c>
      <c r="AD38" s="273">
        <v>18</v>
      </c>
      <c r="AE38" s="273">
        <v>19</v>
      </c>
      <c r="AF38" s="273">
        <v>20</v>
      </c>
      <c r="AG38" s="275" t="s">
        <v>107</v>
      </c>
      <c r="AH38" s="276" t="s">
        <v>108</v>
      </c>
    </row>
    <row r="39" spans="2:34" ht="15.75">
      <c r="B39" s="277"/>
      <c r="C39" s="278"/>
      <c r="K39" s="279">
        <v>0</v>
      </c>
      <c r="L39" s="280">
        <f aca="true" t="shared" si="13" ref="L39:L59">SUMIF($F$9:$F$36,$K39,$E$9:$E$36)</f>
        <v>0</v>
      </c>
      <c r="M39" s="281">
        <v>0</v>
      </c>
      <c r="N39" s="282">
        <v>0</v>
      </c>
      <c r="O39" s="282">
        <v>0</v>
      </c>
      <c r="P39" s="282">
        <v>0</v>
      </c>
      <c r="Q39" s="282">
        <v>0</v>
      </c>
      <c r="R39" s="282">
        <v>0</v>
      </c>
      <c r="S39" s="282">
        <v>0</v>
      </c>
      <c r="T39" s="282">
        <v>0</v>
      </c>
      <c r="U39" s="282">
        <v>0</v>
      </c>
      <c r="V39" s="282">
        <v>0</v>
      </c>
      <c r="W39" s="282">
        <v>0</v>
      </c>
      <c r="X39" s="282">
        <v>0</v>
      </c>
      <c r="Y39" s="282">
        <v>0</v>
      </c>
      <c r="Z39" s="282">
        <v>0</v>
      </c>
      <c r="AA39" s="282">
        <v>0</v>
      </c>
      <c r="AB39" s="282">
        <v>0</v>
      </c>
      <c r="AC39" s="282">
        <v>0</v>
      </c>
      <c r="AD39" s="282">
        <v>0</v>
      </c>
      <c r="AE39" s="282">
        <v>0</v>
      </c>
      <c r="AF39" s="282">
        <v>0</v>
      </c>
      <c r="AG39" s="283">
        <f aca="true" t="shared" si="14" ref="AG39:AG59">SUM(L39:AF39)</f>
        <v>0</v>
      </c>
      <c r="AH39" s="284">
        <f aca="true" t="shared" si="15" ref="AH39:AH59">IF(K39=$C$5,SUM($K$9:$K$36),0)</f>
        <v>0</v>
      </c>
    </row>
    <row r="40" spans="2:34" ht="15.75">
      <c r="B40" s="285"/>
      <c r="C40" s="286"/>
      <c r="K40" s="279">
        <f aca="true" t="shared" si="16" ref="K40:K59">K39+1</f>
        <v>1</v>
      </c>
      <c r="L40" s="287">
        <f t="shared" si="13"/>
        <v>0</v>
      </c>
      <c r="M40" s="264">
        <f aca="true" t="shared" si="17" ref="M40:V49">IF($K40&gt;=$C$5,0,SUMIF(M$9:M$36,$K40,$L$9:$L$36))</f>
        <v>0</v>
      </c>
      <c r="N40" s="265">
        <f t="shared" si="17"/>
        <v>0</v>
      </c>
      <c r="O40" s="265">
        <f t="shared" si="17"/>
        <v>0</v>
      </c>
      <c r="P40" s="265">
        <f t="shared" si="17"/>
        <v>0</v>
      </c>
      <c r="Q40" s="265">
        <f t="shared" si="17"/>
        <v>0</v>
      </c>
      <c r="R40" s="265">
        <f t="shared" si="17"/>
        <v>0</v>
      </c>
      <c r="S40" s="265">
        <f t="shared" si="17"/>
        <v>0</v>
      </c>
      <c r="T40" s="265">
        <f t="shared" si="17"/>
        <v>0</v>
      </c>
      <c r="U40" s="265">
        <f t="shared" si="17"/>
        <v>0</v>
      </c>
      <c r="V40" s="265">
        <f t="shared" si="17"/>
        <v>0</v>
      </c>
      <c r="W40" s="265">
        <f aca="true" t="shared" si="18" ref="W40:AF49">IF($K40&gt;=$C$5,0,SUMIF(W$9:W$36,$K40,$L$9:$L$36))</f>
        <v>0</v>
      </c>
      <c r="X40" s="265">
        <f t="shared" si="18"/>
        <v>0</v>
      </c>
      <c r="Y40" s="265">
        <f t="shared" si="18"/>
        <v>0</v>
      </c>
      <c r="Z40" s="265">
        <f t="shared" si="18"/>
        <v>0</v>
      </c>
      <c r="AA40" s="265">
        <f t="shared" si="18"/>
        <v>0</v>
      </c>
      <c r="AB40" s="265">
        <f t="shared" si="18"/>
        <v>0</v>
      </c>
      <c r="AC40" s="265">
        <f t="shared" si="18"/>
        <v>0</v>
      </c>
      <c r="AD40" s="265">
        <f t="shared" si="18"/>
        <v>0</v>
      </c>
      <c r="AE40" s="265">
        <f t="shared" si="18"/>
        <v>0</v>
      </c>
      <c r="AF40" s="265">
        <f t="shared" si="18"/>
        <v>0</v>
      </c>
      <c r="AG40" s="288">
        <f t="shared" si="14"/>
        <v>0</v>
      </c>
      <c r="AH40" s="289">
        <f t="shared" si="15"/>
        <v>0</v>
      </c>
    </row>
    <row r="41" spans="2:34" ht="15.75">
      <c r="B41" s="285"/>
      <c r="C41" s="286"/>
      <c r="K41" s="279">
        <f t="shared" si="16"/>
        <v>2</v>
      </c>
      <c r="L41" s="287">
        <f t="shared" si="13"/>
        <v>0</v>
      </c>
      <c r="M41" s="264">
        <f t="shared" si="17"/>
        <v>0</v>
      </c>
      <c r="N41" s="265">
        <f t="shared" si="17"/>
        <v>0</v>
      </c>
      <c r="O41" s="265">
        <f t="shared" si="17"/>
        <v>0</v>
      </c>
      <c r="P41" s="265">
        <f t="shared" si="17"/>
        <v>0</v>
      </c>
      <c r="Q41" s="265">
        <f t="shared" si="17"/>
        <v>0</v>
      </c>
      <c r="R41" s="265">
        <f t="shared" si="17"/>
        <v>0</v>
      </c>
      <c r="S41" s="265">
        <f t="shared" si="17"/>
        <v>0</v>
      </c>
      <c r="T41" s="265">
        <f t="shared" si="17"/>
        <v>0</v>
      </c>
      <c r="U41" s="265">
        <f t="shared" si="17"/>
        <v>0</v>
      </c>
      <c r="V41" s="265">
        <f t="shared" si="17"/>
        <v>0</v>
      </c>
      <c r="W41" s="265">
        <f t="shared" si="18"/>
        <v>0</v>
      </c>
      <c r="X41" s="265">
        <f t="shared" si="18"/>
        <v>0</v>
      </c>
      <c r="Y41" s="265">
        <f t="shared" si="18"/>
        <v>0</v>
      </c>
      <c r="Z41" s="265">
        <f t="shared" si="18"/>
        <v>0</v>
      </c>
      <c r="AA41" s="265">
        <f t="shared" si="18"/>
        <v>0</v>
      </c>
      <c r="AB41" s="265">
        <f t="shared" si="18"/>
        <v>0</v>
      </c>
      <c r="AC41" s="265">
        <f t="shared" si="18"/>
        <v>0</v>
      </c>
      <c r="AD41" s="265">
        <f t="shared" si="18"/>
        <v>0</v>
      </c>
      <c r="AE41" s="265">
        <f t="shared" si="18"/>
        <v>0</v>
      </c>
      <c r="AF41" s="265">
        <f t="shared" si="18"/>
        <v>0</v>
      </c>
      <c r="AG41" s="288">
        <f t="shared" si="14"/>
        <v>0</v>
      </c>
      <c r="AH41" s="289">
        <f t="shared" si="15"/>
        <v>0</v>
      </c>
    </row>
    <row r="42" spans="2:34" ht="15.75">
      <c r="B42" s="290"/>
      <c r="C42" s="286"/>
      <c r="K42" s="279">
        <f t="shared" si="16"/>
        <v>3</v>
      </c>
      <c r="L42" s="287">
        <f t="shared" si="13"/>
        <v>0</v>
      </c>
      <c r="M42" s="264">
        <f t="shared" si="17"/>
        <v>0</v>
      </c>
      <c r="N42" s="265">
        <f t="shared" si="17"/>
        <v>0</v>
      </c>
      <c r="O42" s="265">
        <f t="shared" si="17"/>
        <v>0</v>
      </c>
      <c r="P42" s="265">
        <f t="shared" si="17"/>
        <v>0</v>
      </c>
      <c r="Q42" s="265">
        <f t="shared" si="17"/>
        <v>0</v>
      </c>
      <c r="R42" s="265">
        <f t="shared" si="17"/>
        <v>0</v>
      </c>
      <c r="S42" s="265">
        <f t="shared" si="17"/>
        <v>0</v>
      </c>
      <c r="T42" s="265">
        <f t="shared" si="17"/>
        <v>0</v>
      </c>
      <c r="U42" s="265">
        <f t="shared" si="17"/>
        <v>0</v>
      </c>
      <c r="V42" s="265">
        <f t="shared" si="17"/>
        <v>0</v>
      </c>
      <c r="W42" s="265">
        <f t="shared" si="18"/>
        <v>0</v>
      </c>
      <c r="X42" s="265">
        <f t="shared" si="18"/>
        <v>0</v>
      </c>
      <c r="Y42" s="265">
        <f t="shared" si="18"/>
        <v>0</v>
      </c>
      <c r="Z42" s="265">
        <f t="shared" si="18"/>
        <v>0</v>
      </c>
      <c r="AA42" s="265">
        <f t="shared" si="18"/>
        <v>0</v>
      </c>
      <c r="AB42" s="265">
        <f t="shared" si="18"/>
        <v>0</v>
      </c>
      <c r="AC42" s="265">
        <f t="shared" si="18"/>
        <v>0</v>
      </c>
      <c r="AD42" s="265">
        <f t="shared" si="18"/>
        <v>0</v>
      </c>
      <c r="AE42" s="265">
        <f t="shared" si="18"/>
        <v>0</v>
      </c>
      <c r="AF42" s="265">
        <f t="shared" si="18"/>
        <v>0</v>
      </c>
      <c r="AG42" s="288">
        <f t="shared" si="14"/>
        <v>0</v>
      </c>
      <c r="AH42" s="289">
        <f t="shared" si="15"/>
        <v>0</v>
      </c>
    </row>
    <row r="43" spans="2:34" ht="15.75">
      <c r="B43" s="291"/>
      <c r="C43" s="286"/>
      <c r="K43" s="279">
        <f t="shared" si="16"/>
        <v>4</v>
      </c>
      <c r="L43" s="287">
        <f t="shared" si="13"/>
        <v>0</v>
      </c>
      <c r="M43" s="264">
        <f t="shared" si="17"/>
        <v>0</v>
      </c>
      <c r="N43" s="265">
        <f t="shared" si="17"/>
        <v>0</v>
      </c>
      <c r="O43" s="265">
        <f t="shared" si="17"/>
        <v>0</v>
      </c>
      <c r="P43" s="265">
        <f t="shared" si="17"/>
        <v>0</v>
      </c>
      <c r="Q43" s="265">
        <f t="shared" si="17"/>
        <v>0</v>
      </c>
      <c r="R43" s="265">
        <f t="shared" si="17"/>
        <v>0</v>
      </c>
      <c r="S43" s="265">
        <f t="shared" si="17"/>
        <v>0</v>
      </c>
      <c r="T43" s="265">
        <f t="shared" si="17"/>
        <v>0</v>
      </c>
      <c r="U43" s="265">
        <f t="shared" si="17"/>
        <v>0</v>
      </c>
      <c r="V43" s="265">
        <f t="shared" si="17"/>
        <v>0</v>
      </c>
      <c r="W43" s="265">
        <f t="shared" si="18"/>
        <v>0</v>
      </c>
      <c r="X43" s="265">
        <f t="shared" si="18"/>
        <v>0</v>
      </c>
      <c r="Y43" s="265">
        <f t="shared" si="18"/>
        <v>0</v>
      </c>
      <c r="Z43" s="265">
        <f t="shared" si="18"/>
        <v>0</v>
      </c>
      <c r="AA43" s="265">
        <f t="shared" si="18"/>
        <v>0</v>
      </c>
      <c r="AB43" s="265">
        <f t="shared" si="18"/>
        <v>0</v>
      </c>
      <c r="AC43" s="265">
        <f t="shared" si="18"/>
        <v>0</v>
      </c>
      <c r="AD43" s="265">
        <f t="shared" si="18"/>
        <v>0</v>
      </c>
      <c r="AE43" s="265">
        <f t="shared" si="18"/>
        <v>0</v>
      </c>
      <c r="AF43" s="265">
        <f t="shared" si="18"/>
        <v>0</v>
      </c>
      <c r="AG43" s="288">
        <f t="shared" si="14"/>
        <v>0</v>
      </c>
      <c r="AH43" s="289">
        <f t="shared" si="15"/>
        <v>0</v>
      </c>
    </row>
    <row r="44" spans="2:34" ht="15.75">
      <c r="B44" s="285"/>
      <c r="C44" s="286"/>
      <c r="K44" s="279">
        <f t="shared" si="16"/>
        <v>5</v>
      </c>
      <c r="L44" s="287">
        <f t="shared" si="13"/>
        <v>0</v>
      </c>
      <c r="M44" s="264">
        <f t="shared" si="17"/>
        <v>0</v>
      </c>
      <c r="N44" s="265">
        <f t="shared" si="17"/>
        <v>0</v>
      </c>
      <c r="O44" s="265">
        <f t="shared" si="17"/>
        <v>0</v>
      </c>
      <c r="P44" s="265">
        <f t="shared" si="17"/>
        <v>0</v>
      </c>
      <c r="Q44" s="265">
        <f t="shared" si="17"/>
        <v>0</v>
      </c>
      <c r="R44" s="265">
        <f t="shared" si="17"/>
        <v>0</v>
      </c>
      <c r="S44" s="265">
        <f t="shared" si="17"/>
        <v>0</v>
      </c>
      <c r="T44" s="265">
        <f t="shared" si="17"/>
        <v>0</v>
      </c>
      <c r="U44" s="265">
        <f t="shared" si="17"/>
        <v>0</v>
      </c>
      <c r="V44" s="265">
        <f t="shared" si="17"/>
        <v>0</v>
      </c>
      <c r="W44" s="265">
        <f t="shared" si="18"/>
        <v>0</v>
      </c>
      <c r="X44" s="265">
        <f t="shared" si="18"/>
        <v>0</v>
      </c>
      <c r="Y44" s="265">
        <f t="shared" si="18"/>
        <v>0</v>
      </c>
      <c r="Z44" s="265">
        <f t="shared" si="18"/>
        <v>0</v>
      </c>
      <c r="AA44" s="265">
        <f t="shared" si="18"/>
        <v>0</v>
      </c>
      <c r="AB44" s="265">
        <f t="shared" si="18"/>
        <v>0</v>
      </c>
      <c r="AC44" s="265">
        <f t="shared" si="18"/>
        <v>0</v>
      </c>
      <c r="AD44" s="265">
        <f t="shared" si="18"/>
        <v>0</v>
      </c>
      <c r="AE44" s="265">
        <f t="shared" si="18"/>
        <v>0</v>
      </c>
      <c r="AF44" s="265">
        <f t="shared" si="18"/>
        <v>0</v>
      </c>
      <c r="AG44" s="288">
        <f t="shared" si="14"/>
        <v>0</v>
      </c>
      <c r="AH44" s="289">
        <f t="shared" si="15"/>
        <v>0</v>
      </c>
    </row>
    <row r="45" spans="2:34" ht="15.75">
      <c r="B45" s="285"/>
      <c r="C45" s="286"/>
      <c r="K45" s="279">
        <f t="shared" si="16"/>
        <v>6</v>
      </c>
      <c r="L45" s="287">
        <f t="shared" si="13"/>
        <v>0</v>
      </c>
      <c r="M45" s="264">
        <f t="shared" si="17"/>
        <v>0</v>
      </c>
      <c r="N45" s="265">
        <f t="shared" si="17"/>
        <v>0</v>
      </c>
      <c r="O45" s="265">
        <f t="shared" si="17"/>
        <v>0</v>
      </c>
      <c r="P45" s="265">
        <f t="shared" si="17"/>
        <v>0</v>
      </c>
      <c r="Q45" s="265">
        <f t="shared" si="17"/>
        <v>0</v>
      </c>
      <c r="R45" s="265">
        <f t="shared" si="17"/>
        <v>0</v>
      </c>
      <c r="S45" s="265">
        <f t="shared" si="17"/>
        <v>0</v>
      </c>
      <c r="T45" s="265">
        <f t="shared" si="17"/>
        <v>0</v>
      </c>
      <c r="U45" s="265">
        <f t="shared" si="17"/>
        <v>0</v>
      </c>
      <c r="V45" s="265">
        <f t="shared" si="17"/>
        <v>0</v>
      </c>
      <c r="W45" s="265">
        <f t="shared" si="18"/>
        <v>0</v>
      </c>
      <c r="X45" s="265">
        <f t="shared" si="18"/>
        <v>0</v>
      </c>
      <c r="Y45" s="265">
        <f t="shared" si="18"/>
        <v>0</v>
      </c>
      <c r="Z45" s="265">
        <f t="shared" si="18"/>
        <v>0</v>
      </c>
      <c r="AA45" s="265">
        <f t="shared" si="18"/>
        <v>0</v>
      </c>
      <c r="AB45" s="265">
        <f t="shared" si="18"/>
        <v>0</v>
      </c>
      <c r="AC45" s="265">
        <f t="shared" si="18"/>
        <v>0</v>
      </c>
      <c r="AD45" s="265">
        <f t="shared" si="18"/>
        <v>0</v>
      </c>
      <c r="AE45" s="265">
        <f t="shared" si="18"/>
        <v>0</v>
      </c>
      <c r="AF45" s="265">
        <f t="shared" si="18"/>
        <v>0</v>
      </c>
      <c r="AG45" s="288">
        <f t="shared" si="14"/>
        <v>0</v>
      </c>
      <c r="AH45" s="289">
        <f t="shared" si="15"/>
        <v>0</v>
      </c>
    </row>
    <row r="46" spans="2:34" ht="15.75">
      <c r="B46" s="285"/>
      <c r="C46" s="286"/>
      <c r="K46" s="279">
        <f t="shared" si="16"/>
        <v>7</v>
      </c>
      <c r="L46" s="287">
        <f t="shared" si="13"/>
        <v>0</v>
      </c>
      <c r="M46" s="264">
        <f t="shared" si="17"/>
        <v>0</v>
      </c>
      <c r="N46" s="265">
        <f t="shared" si="17"/>
        <v>0</v>
      </c>
      <c r="O46" s="265">
        <f t="shared" si="17"/>
        <v>0</v>
      </c>
      <c r="P46" s="265">
        <f t="shared" si="17"/>
        <v>0</v>
      </c>
      <c r="Q46" s="265">
        <f t="shared" si="17"/>
        <v>0</v>
      </c>
      <c r="R46" s="265">
        <f t="shared" si="17"/>
        <v>0</v>
      </c>
      <c r="S46" s="265">
        <f t="shared" si="17"/>
        <v>0</v>
      </c>
      <c r="T46" s="265">
        <f t="shared" si="17"/>
        <v>0</v>
      </c>
      <c r="U46" s="265">
        <f t="shared" si="17"/>
        <v>0</v>
      </c>
      <c r="V46" s="265">
        <f t="shared" si="17"/>
        <v>0</v>
      </c>
      <c r="W46" s="265">
        <f t="shared" si="18"/>
        <v>0</v>
      </c>
      <c r="X46" s="265">
        <f t="shared" si="18"/>
        <v>0</v>
      </c>
      <c r="Y46" s="265">
        <f t="shared" si="18"/>
        <v>0</v>
      </c>
      <c r="Z46" s="265">
        <f t="shared" si="18"/>
        <v>0</v>
      </c>
      <c r="AA46" s="265">
        <f t="shared" si="18"/>
        <v>0</v>
      </c>
      <c r="AB46" s="265">
        <f t="shared" si="18"/>
        <v>0</v>
      </c>
      <c r="AC46" s="265">
        <f t="shared" si="18"/>
        <v>0</v>
      </c>
      <c r="AD46" s="265">
        <f t="shared" si="18"/>
        <v>0</v>
      </c>
      <c r="AE46" s="265">
        <f t="shared" si="18"/>
        <v>0</v>
      </c>
      <c r="AF46" s="265">
        <f t="shared" si="18"/>
        <v>0</v>
      </c>
      <c r="AG46" s="288">
        <f t="shared" si="14"/>
        <v>0</v>
      </c>
      <c r="AH46" s="289">
        <f t="shared" si="15"/>
        <v>0</v>
      </c>
    </row>
    <row r="47" spans="2:34" ht="15.75">
      <c r="B47" s="290"/>
      <c r="C47" s="286"/>
      <c r="K47" s="279">
        <f t="shared" si="16"/>
        <v>8</v>
      </c>
      <c r="L47" s="287">
        <f t="shared" si="13"/>
        <v>0</v>
      </c>
      <c r="M47" s="264">
        <f t="shared" si="17"/>
        <v>0</v>
      </c>
      <c r="N47" s="265">
        <f t="shared" si="17"/>
        <v>0</v>
      </c>
      <c r="O47" s="265">
        <f t="shared" si="17"/>
        <v>0</v>
      </c>
      <c r="P47" s="265">
        <f t="shared" si="17"/>
        <v>0</v>
      </c>
      <c r="Q47" s="265">
        <f t="shared" si="17"/>
        <v>0</v>
      </c>
      <c r="R47" s="265">
        <f t="shared" si="17"/>
        <v>0</v>
      </c>
      <c r="S47" s="265">
        <f t="shared" si="17"/>
        <v>0</v>
      </c>
      <c r="T47" s="265">
        <f t="shared" si="17"/>
        <v>0</v>
      </c>
      <c r="U47" s="265">
        <f t="shared" si="17"/>
        <v>0</v>
      </c>
      <c r="V47" s="265">
        <f t="shared" si="17"/>
        <v>0</v>
      </c>
      <c r="W47" s="265">
        <f t="shared" si="18"/>
        <v>0</v>
      </c>
      <c r="X47" s="265">
        <f t="shared" si="18"/>
        <v>0</v>
      </c>
      <c r="Y47" s="265">
        <f t="shared" si="18"/>
        <v>0</v>
      </c>
      <c r="Z47" s="265">
        <f t="shared" si="18"/>
        <v>0</v>
      </c>
      <c r="AA47" s="265">
        <f t="shared" si="18"/>
        <v>0</v>
      </c>
      <c r="AB47" s="265">
        <f t="shared" si="18"/>
        <v>0</v>
      </c>
      <c r="AC47" s="265">
        <f t="shared" si="18"/>
        <v>0</v>
      </c>
      <c r="AD47" s="265">
        <f t="shared" si="18"/>
        <v>0</v>
      </c>
      <c r="AE47" s="265">
        <f t="shared" si="18"/>
        <v>0</v>
      </c>
      <c r="AF47" s="265">
        <f t="shared" si="18"/>
        <v>0</v>
      </c>
      <c r="AG47" s="288">
        <f t="shared" si="14"/>
        <v>0</v>
      </c>
      <c r="AH47" s="289">
        <f t="shared" si="15"/>
        <v>0</v>
      </c>
    </row>
    <row r="48" spans="2:34" ht="15.75">
      <c r="B48" s="291"/>
      <c r="C48" s="286"/>
      <c r="K48" s="279">
        <f t="shared" si="16"/>
        <v>9</v>
      </c>
      <c r="L48" s="287">
        <f t="shared" si="13"/>
        <v>0</v>
      </c>
      <c r="M48" s="264">
        <f t="shared" si="17"/>
        <v>0</v>
      </c>
      <c r="N48" s="265">
        <f t="shared" si="17"/>
        <v>0</v>
      </c>
      <c r="O48" s="265">
        <f t="shared" si="17"/>
        <v>0</v>
      </c>
      <c r="P48" s="265">
        <f t="shared" si="17"/>
        <v>0</v>
      </c>
      <c r="Q48" s="265">
        <f t="shared" si="17"/>
        <v>0</v>
      </c>
      <c r="R48" s="265">
        <f t="shared" si="17"/>
        <v>0</v>
      </c>
      <c r="S48" s="265">
        <f t="shared" si="17"/>
        <v>0</v>
      </c>
      <c r="T48" s="265">
        <f t="shared" si="17"/>
        <v>0</v>
      </c>
      <c r="U48" s="265">
        <f t="shared" si="17"/>
        <v>0</v>
      </c>
      <c r="V48" s="265">
        <f t="shared" si="17"/>
        <v>0</v>
      </c>
      <c r="W48" s="265">
        <f t="shared" si="18"/>
        <v>0</v>
      </c>
      <c r="X48" s="265">
        <f t="shared" si="18"/>
        <v>0</v>
      </c>
      <c r="Y48" s="265">
        <f t="shared" si="18"/>
        <v>0</v>
      </c>
      <c r="Z48" s="265">
        <f t="shared" si="18"/>
        <v>0</v>
      </c>
      <c r="AA48" s="265">
        <f t="shared" si="18"/>
        <v>0</v>
      </c>
      <c r="AB48" s="265">
        <f t="shared" si="18"/>
        <v>0</v>
      </c>
      <c r="AC48" s="265">
        <f t="shared" si="18"/>
        <v>0</v>
      </c>
      <c r="AD48" s="265">
        <f t="shared" si="18"/>
        <v>0</v>
      </c>
      <c r="AE48" s="265">
        <f t="shared" si="18"/>
        <v>0</v>
      </c>
      <c r="AF48" s="265">
        <f t="shared" si="18"/>
        <v>0</v>
      </c>
      <c r="AG48" s="288">
        <f t="shared" si="14"/>
        <v>0</v>
      </c>
      <c r="AH48" s="289">
        <f t="shared" si="15"/>
        <v>0</v>
      </c>
    </row>
    <row r="49" spans="2:34" ht="15.75">
      <c r="B49" s="285"/>
      <c r="C49" s="286"/>
      <c r="K49" s="279">
        <f t="shared" si="16"/>
        <v>10</v>
      </c>
      <c r="L49" s="287">
        <f t="shared" si="13"/>
        <v>0</v>
      </c>
      <c r="M49" s="264">
        <f t="shared" si="17"/>
        <v>0</v>
      </c>
      <c r="N49" s="265">
        <f t="shared" si="17"/>
        <v>0</v>
      </c>
      <c r="O49" s="265">
        <f t="shared" si="17"/>
        <v>0</v>
      </c>
      <c r="P49" s="265">
        <f t="shared" si="17"/>
        <v>0</v>
      </c>
      <c r="Q49" s="265">
        <f t="shared" si="17"/>
        <v>0</v>
      </c>
      <c r="R49" s="265">
        <f t="shared" si="17"/>
        <v>0</v>
      </c>
      <c r="S49" s="265">
        <f t="shared" si="17"/>
        <v>0</v>
      </c>
      <c r="T49" s="265">
        <f t="shared" si="17"/>
        <v>0</v>
      </c>
      <c r="U49" s="265">
        <f t="shared" si="17"/>
        <v>0</v>
      </c>
      <c r="V49" s="265">
        <f t="shared" si="17"/>
        <v>0</v>
      </c>
      <c r="W49" s="265">
        <f t="shared" si="18"/>
        <v>0</v>
      </c>
      <c r="X49" s="265">
        <f t="shared" si="18"/>
        <v>0</v>
      </c>
      <c r="Y49" s="265">
        <f t="shared" si="18"/>
        <v>0</v>
      </c>
      <c r="Z49" s="265">
        <f t="shared" si="18"/>
        <v>0</v>
      </c>
      <c r="AA49" s="265">
        <f t="shared" si="18"/>
        <v>0</v>
      </c>
      <c r="AB49" s="265">
        <f t="shared" si="18"/>
        <v>0</v>
      </c>
      <c r="AC49" s="265">
        <f t="shared" si="18"/>
        <v>0</v>
      </c>
      <c r="AD49" s="265">
        <f t="shared" si="18"/>
        <v>0</v>
      </c>
      <c r="AE49" s="265">
        <f t="shared" si="18"/>
        <v>0</v>
      </c>
      <c r="AF49" s="265">
        <f t="shared" si="18"/>
        <v>0</v>
      </c>
      <c r="AG49" s="288">
        <f t="shared" si="14"/>
        <v>0</v>
      </c>
      <c r="AH49" s="289">
        <f t="shared" si="15"/>
        <v>0</v>
      </c>
    </row>
    <row r="50" spans="2:34" ht="15.75">
      <c r="B50" s="285"/>
      <c r="C50" s="286"/>
      <c r="K50" s="279">
        <f t="shared" si="16"/>
        <v>11</v>
      </c>
      <c r="L50" s="287">
        <f t="shared" si="13"/>
        <v>0</v>
      </c>
      <c r="M50" s="264">
        <f aca="true" t="shared" si="19" ref="M50:V59">IF($K50&gt;=$C$5,0,SUMIF(M$9:M$36,$K50,$L$9:$L$36))</f>
        <v>0</v>
      </c>
      <c r="N50" s="265">
        <f t="shared" si="19"/>
        <v>0</v>
      </c>
      <c r="O50" s="265">
        <f t="shared" si="19"/>
        <v>0</v>
      </c>
      <c r="P50" s="265">
        <f t="shared" si="19"/>
        <v>0</v>
      </c>
      <c r="Q50" s="265">
        <f t="shared" si="19"/>
        <v>0</v>
      </c>
      <c r="R50" s="265">
        <f t="shared" si="19"/>
        <v>0</v>
      </c>
      <c r="S50" s="265">
        <f t="shared" si="19"/>
        <v>0</v>
      </c>
      <c r="T50" s="265">
        <f t="shared" si="19"/>
        <v>0</v>
      </c>
      <c r="U50" s="265">
        <f t="shared" si="19"/>
        <v>0</v>
      </c>
      <c r="V50" s="265">
        <f t="shared" si="19"/>
        <v>0</v>
      </c>
      <c r="W50" s="265">
        <f aca="true" t="shared" si="20" ref="W50:AF59">IF($K50&gt;=$C$5,0,SUMIF(W$9:W$36,$K50,$L$9:$L$36))</f>
        <v>0</v>
      </c>
      <c r="X50" s="265">
        <f t="shared" si="20"/>
        <v>0</v>
      </c>
      <c r="Y50" s="265">
        <f t="shared" si="20"/>
        <v>0</v>
      </c>
      <c r="Z50" s="265">
        <f t="shared" si="20"/>
        <v>0</v>
      </c>
      <c r="AA50" s="265">
        <f t="shared" si="20"/>
        <v>0</v>
      </c>
      <c r="AB50" s="265">
        <f t="shared" si="20"/>
        <v>0</v>
      </c>
      <c r="AC50" s="265">
        <f t="shared" si="20"/>
        <v>0</v>
      </c>
      <c r="AD50" s="265">
        <f t="shared" si="20"/>
        <v>0</v>
      </c>
      <c r="AE50" s="265">
        <f t="shared" si="20"/>
        <v>0</v>
      </c>
      <c r="AF50" s="265">
        <f t="shared" si="20"/>
        <v>0</v>
      </c>
      <c r="AG50" s="288">
        <f t="shared" si="14"/>
        <v>0</v>
      </c>
      <c r="AH50" s="289">
        <f t="shared" si="15"/>
        <v>0</v>
      </c>
    </row>
    <row r="51" spans="2:34" ht="15.75">
      <c r="B51" s="285"/>
      <c r="C51" s="286"/>
      <c r="K51" s="279">
        <f t="shared" si="16"/>
        <v>12</v>
      </c>
      <c r="L51" s="287">
        <f t="shared" si="13"/>
        <v>0</v>
      </c>
      <c r="M51" s="264">
        <f t="shared" si="19"/>
        <v>0</v>
      </c>
      <c r="N51" s="265">
        <f t="shared" si="19"/>
        <v>0</v>
      </c>
      <c r="O51" s="265">
        <f t="shared" si="19"/>
        <v>0</v>
      </c>
      <c r="P51" s="265">
        <f t="shared" si="19"/>
        <v>0</v>
      </c>
      <c r="Q51" s="265">
        <f t="shared" si="19"/>
        <v>0</v>
      </c>
      <c r="R51" s="265">
        <f t="shared" si="19"/>
        <v>0</v>
      </c>
      <c r="S51" s="265">
        <f t="shared" si="19"/>
        <v>0</v>
      </c>
      <c r="T51" s="265">
        <f t="shared" si="19"/>
        <v>0</v>
      </c>
      <c r="U51" s="265">
        <f t="shared" si="19"/>
        <v>0</v>
      </c>
      <c r="V51" s="265">
        <f t="shared" si="19"/>
        <v>0</v>
      </c>
      <c r="W51" s="265">
        <f t="shared" si="20"/>
        <v>0</v>
      </c>
      <c r="X51" s="265">
        <f t="shared" si="20"/>
        <v>0</v>
      </c>
      <c r="Y51" s="265">
        <f t="shared" si="20"/>
        <v>0</v>
      </c>
      <c r="Z51" s="265">
        <f t="shared" si="20"/>
        <v>0</v>
      </c>
      <c r="AA51" s="265">
        <f t="shared" si="20"/>
        <v>0</v>
      </c>
      <c r="AB51" s="265">
        <f t="shared" si="20"/>
        <v>0</v>
      </c>
      <c r="AC51" s="265">
        <f t="shared" si="20"/>
        <v>0</v>
      </c>
      <c r="AD51" s="265">
        <f t="shared" si="20"/>
        <v>0</v>
      </c>
      <c r="AE51" s="265">
        <f t="shared" si="20"/>
        <v>0</v>
      </c>
      <c r="AF51" s="265">
        <f t="shared" si="20"/>
        <v>0</v>
      </c>
      <c r="AG51" s="288">
        <f t="shared" si="14"/>
        <v>0</v>
      </c>
      <c r="AH51" s="289">
        <f t="shared" si="15"/>
        <v>0</v>
      </c>
    </row>
    <row r="52" spans="2:34" ht="15.75">
      <c r="B52" s="285"/>
      <c r="C52" s="286"/>
      <c r="K52" s="279">
        <f t="shared" si="16"/>
        <v>13</v>
      </c>
      <c r="L52" s="287">
        <f t="shared" si="13"/>
        <v>0</v>
      </c>
      <c r="M52" s="264">
        <f t="shared" si="19"/>
        <v>0</v>
      </c>
      <c r="N52" s="265">
        <f t="shared" si="19"/>
        <v>0</v>
      </c>
      <c r="O52" s="265">
        <f t="shared" si="19"/>
        <v>0</v>
      </c>
      <c r="P52" s="265">
        <f t="shared" si="19"/>
        <v>0</v>
      </c>
      <c r="Q52" s="265">
        <f t="shared" si="19"/>
        <v>0</v>
      </c>
      <c r="R52" s="265">
        <f t="shared" si="19"/>
        <v>0</v>
      </c>
      <c r="S52" s="265">
        <f t="shared" si="19"/>
        <v>0</v>
      </c>
      <c r="T52" s="265">
        <f t="shared" si="19"/>
        <v>0</v>
      </c>
      <c r="U52" s="265">
        <f t="shared" si="19"/>
        <v>0</v>
      </c>
      <c r="V52" s="265">
        <f t="shared" si="19"/>
        <v>0</v>
      </c>
      <c r="W52" s="265">
        <f t="shared" si="20"/>
        <v>0</v>
      </c>
      <c r="X52" s="265">
        <f t="shared" si="20"/>
        <v>0</v>
      </c>
      <c r="Y52" s="265">
        <f t="shared" si="20"/>
        <v>0</v>
      </c>
      <c r="Z52" s="265">
        <f t="shared" si="20"/>
        <v>0</v>
      </c>
      <c r="AA52" s="265">
        <f t="shared" si="20"/>
        <v>0</v>
      </c>
      <c r="AB52" s="265">
        <f t="shared" si="20"/>
        <v>0</v>
      </c>
      <c r="AC52" s="265">
        <f t="shared" si="20"/>
        <v>0</v>
      </c>
      <c r="AD52" s="265">
        <f t="shared" si="20"/>
        <v>0</v>
      </c>
      <c r="AE52" s="265">
        <f t="shared" si="20"/>
        <v>0</v>
      </c>
      <c r="AF52" s="265">
        <f t="shared" si="20"/>
        <v>0</v>
      </c>
      <c r="AG52" s="288">
        <f t="shared" si="14"/>
        <v>0</v>
      </c>
      <c r="AH52" s="289">
        <f t="shared" si="15"/>
        <v>0</v>
      </c>
    </row>
    <row r="53" spans="2:34" ht="15.75">
      <c r="B53" s="285"/>
      <c r="C53" s="286"/>
      <c r="K53" s="279">
        <f t="shared" si="16"/>
        <v>14</v>
      </c>
      <c r="L53" s="287">
        <f t="shared" si="13"/>
        <v>0</v>
      </c>
      <c r="M53" s="264">
        <f t="shared" si="19"/>
        <v>0</v>
      </c>
      <c r="N53" s="265">
        <f t="shared" si="19"/>
        <v>0</v>
      </c>
      <c r="O53" s="265">
        <f t="shared" si="19"/>
        <v>0</v>
      </c>
      <c r="P53" s="265">
        <f t="shared" si="19"/>
        <v>0</v>
      </c>
      <c r="Q53" s="265">
        <f t="shared" si="19"/>
        <v>0</v>
      </c>
      <c r="R53" s="265">
        <f t="shared" si="19"/>
        <v>0</v>
      </c>
      <c r="S53" s="265">
        <f t="shared" si="19"/>
        <v>0</v>
      </c>
      <c r="T53" s="265">
        <f t="shared" si="19"/>
        <v>0</v>
      </c>
      <c r="U53" s="265">
        <f t="shared" si="19"/>
        <v>0</v>
      </c>
      <c r="V53" s="265">
        <f t="shared" si="19"/>
        <v>0</v>
      </c>
      <c r="W53" s="265">
        <f t="shared" si="20"/>
        <v>0</v>
      </c>
      <c r="X53" s="265">
        <f t="shared" si="20"/>
        <v>0</v>
      </c>
      <c r="Y53" s="265">
        <f t="shared" si="20"/>
        <v>0</v>
      </c>
      <c r="Z53" s="265">
        <f t="shared" si="20"/>
        <v>0</v>
      </c>
      <c r="AA53" s="265">
        <f t="shared" si="20"/>
        <v>0</v>
      </c>
      <c r="AB53" s="265">
        <f t="shared" si="20"/>
        <v>0</v>
      </c>
      <c r="AC53" s="265">
        <f t="shared" si="20"/>
        <v>0</v>
      </c>
      <c r="AD53" s="265">
        <f t="shared" si="20"/>
        <v>0</v>
      </c>
      <c r="AE53" s="265">
        <f t="shared" si="20"/>
        <v>0</v>
      </c>
      <c r="AF53" s="265">
        <f t="shared" si="20"/>
        <v>0</v>
      </c>
      <c r="AG53" s="288">
        <f t="shared" si="14"/>
        <v>0</v>
      </c>
      <c r="AH53" s="289">
        <f t="shared" si="15"/>
        <v>0</v>
      </c>
    </row>
    <row r="54" spans="2:34" ht="15.75">
      <c r="B54" s="285"/>
      <c r="C54" s="286"/>
      <c r="K54" s="279">
        <f t="shared" si="16"/>
        <v>15</v>
      </c>
      <c r="L54" s="287">
        <f t="shared" si="13"/>
        <v>0</v>
      </c>
      <c r="M54" s="264">
        <f t="shared" si="19"/>
        <v>0</v>
      </c>
      <c r="N54" s="265">
        <f t="shared" si="19"/>
        <v>0</v>
      </c>
      <c r="O54" s="265">
        <f t="shared" si="19"/>
        <v>0</v>
      </c>
      <c r="P54" s="265">
        <f t="shared" si="19"/>
        <v>0</v>
      </c>
      <c r="Q54" s="265">
        <f t="shared" si="19"/>
        <v>0</v>
      </c>
      <c r="R54" s="265">
        <f t="shared" si="19"/>
        <v>0</v>
      </c>
      <c r="S54" s="265">
        <f t="shared" si="19"/>
        <v>0</v>
      </c>
      <c r="T54" s="265">
        <f t="shared" si="19"/>
        <v>0</v>
      </c>
      <c r="U54" s="265">
        <f t="shared" si="19"/>
        <v>0</v>
      </c>
      <c r="V54" s="265">
        <f t="shared" si="19"/>
        <v>0</v>
      </c>
      <c r="W54" s="265">
        <f t="shared" si="20"/>
        <v>0</v>
      </c>
      <c r="X54" s="265">
        <f t="shared" si="20"/>
        <v>0</v>
      </c>
      <c r="Y54" s="265">
        <f t="shared" si="20"/>
        <v>0</v>
      </c>
      <c r="Z54" s="265">
        <f t="shared" si="20"/>
        <v>0</v>
      </c>
      <c r="AA54" s="265">
        <f t="shared" si="20"/>
        <v>0</v>
      </c>
      <c r="AB54" s="265">
        <f t="shared" si="20"/>
        <v>0</v>
      </c>
      <c r="AC54" s="265">
        <f t="shared" si="20"/>
        <v>0</v>
      </c>
      <c r="AD54" s="265">
        <f t="shared" si="20"/>
        <v>0</v>
      </c>
      <c r="AE54" s="265">
        <f t="shared" si="20"/>
        <v>0</v>
      </c>
      <c r="AF54" s="265">
        <f t="shared" si="20"/>
        <v>0</v>
      </c>
      <c r="AG54" s="288">
        <f t="shared" si="14"/>
        <v>0</v>
      </c>
      <c r="AH54" s="289">
        <f t="shared" si="15"/>
        <v>0</v>
      </c>
    </row>
    <row r="55" spans="2:34" ht="15.75">
      <c r="B55" s="285"/>
      <c r="C55" s="286"/>
      <c r="K55" s="279">
        <f t="shared" si="16"/>
        <v>16</v>
      </c>
      <c r="L55" s="287">
        <f t="shared" si="13"/>
        <v>0</v>
      </c>
      <c r="M55" s="264">
        <f t="shared" si="19"/>
        <v>0</v>
      </c>
      <c r="N55" s="265">
        <f t="shared" si="19"/>
        <v>0</v>
      </c>
      <c r="O55" s="265">
        <f t="shared" si="19"/>
        <v>0</v>
      </c>
      <c r="P55" s="265">
        <f t="shared" si="19"/>
        <v>0</v>
      </c>
      <c r="Q55" s="265">
        <f t="shared" si="19"/>
        <v>0</v>
      </c>
      <c r="R55" s="265">
        <f t="shared" si="19"/>
        <v>0</v>
      </c>
      <c r="S55" s="265">
        <f t="shared" si="19"/>
        <v>0</v>
      </c>
      <c r="T55" s="265">
        <f t="shared" si="19"/>
        <v>0</v>
      </c>
      <c r="U55" s="265">
        <f t="shared" si="19"/>
        <v>0</v>
      </c>
      <c r="V55" s="265">
        <f t="shared" si="19"/>
        <v>0</v>
      </c>
      <c r="W55" s="265">
        <f t="shared" si="20"/>
        <v>0</v>
      </c>
      <c r="X55" s="265">
        <f t="shared" si="20"/>
        <v>0</v>
      </c>
      <c r="Y55" s="265">
        <f t="shared" si="20"/>
        <v>0</v>
      </c>
      <c r="Z55" s="265">
        <f t="shared" si="20"/>
        <v>0</v>
      </c>
      <c r="AA55" s="265">
        <f t="shared" si="20"/>
        <v>0</v>
      </c>
      <c r="AB55" s="265">
        <f t="shared" si="20"/>
        <v>0</v>
      </c>
      <c r="AC55" s="265">
        <f t="shared" si="20"/>
        <v>0</v>
      </c>
      <c r="AD55" s="265">
        <f t="shared" si="20"/>
        <v>0</v>
      </c>
      <c r="AE55" s="265">
        <f t="shared" si="20"/>
        <v>0</v>
      </c>
      <c r="AF55" s="265">
        <f t="shared" si="20"/>
        <v>0</v>
      </c>
      <c r="AG55" s="288">
        <f t="shared" si="14"/>
        <v>0</v>
      </c>
      <c r="AH55" s="289">
        <f t="shared" si="15"/>
        <v>0</v>
      </c>
    </row>
    <row r="56" spans="2:34" ht="15.75">
      <c r="B56" s="285"/>
      <c r="C56" s="286"/>
      <c r="K56" s="279">
        <f t="shared" si="16"/>
        <v>17</v>
      </c>
      <c r="L56" s="287">
        <f t="shared" si="13"/>
        <v>0</v>
      </c>
      <c r="M56" s="264">
        <f t="shared" si="19"/>
        <v>0</v>
      </c>
      <c r="N56" s="265">
        <f t="shared" si="19"/>
        <v>0</v>
      </c>
      <c r="O56" s="265">
        <f t="shared" si="19"/>
        <v>0</v>
      </c>
      <c r="P56" s="265">
        <f t="shared" si="19"/>
        <v>0</v>
      </c>
      <c r="Q56" s="265">
        <f t="shared" si="19"/>
        <v>0</v>
      </c>
      <c r="R56" s="265">
        <f t="shared" si="19"/>
        <v>0</v>
      </c>
      <c r="S56" s="265">
        <f t="shared" si="19"/>
        <v>0</v>
      </c>
      <c r="T56" s="265">
        <f t="shared" si="19"/>
        <v>0</v>
      </c>
      <c r="U56" s="265">
        <f t="shared" si="19"/>
        <v>0</v>
      </c>
      <c r="V56" s="265">
        <f t="shared" si="19"/>
        <v>0</v>
      </c>
      <c r="W56" s="265">
        <f t="shared" si="20"/>
        <v>0</v>
      </c>
      <c r="X56" s="265">
        <f t="shared" si="20"/>
        <v>0</v>
      </c>
      <c r="Y56" s="265">
        <f t="shared" si="20"/>
        <v>0</v>
      </c>
      <c r="Z56" s="265">
        <f t="shared" si="20"/>
        <v>0</v>
      </c>
      <c r="AA56" s="265">
        <f t="shared" si="20"/>
        <v>0</v>
      </c>
      <c r="AB56" s="265">
        <f t="shared" si="20"/>
        <v>0</v>
      </c>
      <c r="AC56" s="265">
        <f t="shared" si="20"/>
        <v>0</v>
      </c>
      <c r="AD56" s="265">
        <f t="shared" si="20"/>
        <v>0</v>
      </c>
      <c r="AE56" s="265">
        <f t="shared" si="20"/>
        <v>0</v>
      </c>
      <c r="AF56" s="265">
        <f t="shared" si="20"/>
        <v>0</v>
      </c>
      <c r="AG56" s="288">
        <f t="shared" si="14"/>
        <v>0</v>
      </c>
      <c r="AH56" s="289">
        <f t="shared" si="15"/>
        <v>0</v>
      </c>
    </row>
    <row r="57" spans="2:34" ht="15.75">
      <c r="B57" s="285"/>
      <c r="C57" s="286"/>
      <c r="K57" s="279">
        <f t="shared" si="16"/>
        <v>18</v>
      </c>
      <c r="L57" s="287">
        <f t="shared" si="13"/>
        <v>0</v>
      </c>
      <c r="M57" s="264">
        <f t="shared" si="19"/>
        <v>0</v>
      </c>
      <c r="N57" s="265">
        <f t="shared" si="19"/>
        <v>0</v>
      </c>
      <c r="O57" s="265">
        <f t="shared" si="19"/>
        <v>0</v>
      </c>
      <c r="P57" s="265">
        <f t="shared" si="19"/>
        <v>0</v>
      </c>
      <c r="Q57" s="265">
        <f t="shared" si="19"/>
        <v>0</v>
      </c>
      <c r="R57" s="265">
        <f t="shared" si="19"/>
        <v>0</v>
      </c>
      <c r="S57" s="265">
        <f t="shared" si="19"/>
        <v>0</v>
      </c>
      <c r="T57" s="265">
        <f t="shared" si="19"/>
        <v>0</v>
      </c>
      <c r="U57" s="265">
        <f t="shared" si="19"/>
        <v>0</v>
      </c>
      <c r="V57" s="265">
        <f t="shared" si="19"/>
        <v>0</v>
      </c>
      <c r="W57" s="265">
        <f t="shared" si="20"/>
        <v>0</v>
      </c>
      <c r="X57" s="265">
        <f t="shared" si="20"/>
        <v>0</v>
      </c>
      <c r="Y57" s="265">
        <f t="shared" si="20"/>
        <v>0</v>
      </c>
      <c r="Z57" s="265">
        <f t="shared" si="20"/>
        <v>0</v>
      </c>
      <c r="AA57" s="265">
        <f t="shared" si="20"/>
        <v>0</v>
      </c>
      <c r="AB57" s="265">
        <f t="shared" si="20"/>
        <v>0</v>
      </c>
      <c r="AC57" s="265">
        <f t="shared" si="20"/>
        <v>0</v>
      </c>
      <c r="AD57" s="265">
        <f t="shared" si="20"/>
        <v>0</v>
      </c>
      <c r="AE57" s="265">
        <f t="shared" si="20"/>
        <v>0</v>
      </c>
      <c r="AF57" s="265">
        <f t="shared" si="20"/>
        <v>0</v>
      </c>
      <c r="AG57" s="288">
        <f t="shared" si="14"/>
        <v>0</v>
      </c>
      <c r="AH57" s="289">
        <f t="shared" si="15"/>
        <v>0</v>
      </c>
    </row>
    <row r="58" spans="2:34" ht="15.75">
      <c r="B58" s="285"/>
      <c r="C58" s="286"/>
      <c r="K58" s="279">
        <f t="shared" si="16"/>
        <v>19</v>
      </c>
      <c r="L58" s="287">
        <f t="shared" si="13"/>
        <v>0</v>
      </c>
      <c r="M58" s="264">
        <f t="shared" si="19"/>
        <v>0</v>
      </c>
      <c r="N58" s="265">
        <f t="shared" si="19"/>
        <v>0</v>
      </c>
      <c r="O58" s="265">
        <f t="shared" si="19"/>
        <v>0</v>
      </c>
      <c r="P58" s="265">
        <f t="shared" si="19"/>
        <v>0</v>
      </c>
      <c r="Q58" s="265">
        <f t="shared" si="19"/>
        <v>0</v>
      </c>
      <c r="R58" s="265">
        <f t="shared" si="19"/>
        <v>0</v>
      </c>
      <c r="S58" s="265">
        <f t="shared" si="19"/>
        <v>0</v>
      </c>
      <c r="T58" s="265">
        <f t="shared" si="19"/>
        <v>0</v>
      </c>
      <c r="U58" s="265">
        <f t="shared" si="19"/>
        <v>0</v>
      </c>
      <c r="V58" s="265">
        <f t="shared" si="19"/>
        <v>0</v>
      </c>
      <c r="W58" s="265">
        <f t="shared" si="20"/>
        <v>0</v>
      </c>
      <c r="X58" s="265">
        <f t="shared" si="20"/>
        <v>0</v>
      </c>
      <c r="Y58" s="265">
        <f t="shared" si="20"/>
        <v>0</v>
      </c>
      <c r="Z58" s="265">
        <f t="shared" si="20"/>
        <v>0</v>
      </c>
      <c r="AA58" s="265">
        <f t="shared" si="20"/>
        <v>0</v>
      </c>
      <c r="AB58" s="265">
        <f t="shared" si="20"/>
        <v>0</v>
      </c>
      <c r="AC58" s="265">
        <f t="shared" si="20"/>
        <v>0</v>
      </c>
      <c r="AD58" s="265">
        <f t="shared" si="20"/>
        <v>0</v>
      </c>
      <c r="AE58" s="265">
        <f t="shared" si="20"/>
        <v>0</v>
      </c>
      <c r="AF58" s="265">
        <f t="shared" si="20"/>
        <v>0</v>
      </c>
      <c r="AG58" s="288">
        <f t="shared" si="14"/>
        <v>0</v>
      </c>
      <c r="AH58" s="289">
        <f t="shared" si="15"/>
        <v>0</v>
      </c>
    </row>
    <row r="59" spans="2:34" ht="16.5" thickBot="1">
      <c r="B59" s="285"/>
      <c r="C59" s="286"/>
      <c r="K59" s="292">
        <f t="shared" si="16"/>
        <v>20</v>
      </c>
      <c r="L59" s="293">
        <f t="shared" si="13"/>
        <v>0</v>
      </c>
      <c r="M59" s="270">
        <f t="shared" si="19"/>
        <v>0</v>
      </c>
      <c r="N59" s="271">
        <f t="shared" si="19"/>
        <v>0</v>
      </c>
      <c r="O59" s="271">
        <f t="shared" si="19"/>
        <v>0</v>
      </c>
      <c r="P59" s="271">
        <f t="shared" si="19"/>
        <v>0</v>
      </c>
      <c r="Q59" s="271">
        <f t="shared" si="19"/>
        <v>0</v>
      </c>
      <c r="R59" s="271">
        <f t="shared" si="19"/>
        <v>0</v>
      </c>
      <c r="S59" s="271">
        <f t="shared" si="19"/>
        <v>0</v>
      </c>
      <c r="T59" s="271">
        <f t="shared" si="19"/>
        <v>0</v>
      </c>
      <c r="U59" s="271">
        <f t="shared" si="19"/>
        <v>0</v>
      </c>
      <c r="V59" s="271">
        <f t="shared" si="19"/>
        <v>0</v>
      </c>
      <c r="W59" s="271">
        <f t="shared" si="20"/>
        <v>0</v>
      </c>
      <c r="X59" s="271">
        <f t="shared" si="20"/>
        <v>0</v>
      </c>
      <c r="Y59" s="271">
        <f t="shared" si="20"/>
        <v>0</v>
      </c>
      <c r="Z59" s="271">
        <f t="shared" si="20"/>
        <v>0</v>
      </c>
      <c r="AA59" s="271">
        <f t="shared" si="20"/>
        <v>0</v>
      </c>
      <c r="AB59" s="271">
        <f t="shared" si="20"/>
        <v>0</v>
      </c>
      <c r="AC59" s="271">
        <f t="shared" si="20"/>
        <v>0</v>
      </c>
      <c r="AD59" s="271">
        <f t="shared" si="20"/>
        <v>0</v>
      </c>
      <c r="AE59" s="271">
        <f t="shared" si="20"/>
        <v>0</v>
      </c>
      <c r="AF59" s="271">
        <f t="shared" si="20"/>
        <v>0</v>
      </c>
      <c r="AG59" s="294">
        <f t="shared" si="14"/>
        <v>0</v>
      </c>
      <c r="AH59" s="295">
        <f t="shared" si="15"/>
        <v>0</v>
      </c>
    </row>
    <row r="60" spans="2:3" ht="15.75">
      <c r="B60" s="285"/>
      <c r="C60" s="286"/>
    </row>
    <row r="61" spans="2:3" ht="15.75">
      <c r="B61" s="285"/>
      <c r="C61" s="286"/>
    </row>
    <row r="62" spans="2:3" ht="15.75">
      <c r="B62" s="285"/>
      <c r="C62" s="286"/>
    </row>
    <row r="63" spans="2:3" ht="15.75">
      <c r="B63" s="285"/>
      <c r="C63" s="286"/>
    </row>
    <row r="64" spans="2:3" ht="15.75">
      <c r="B64" s="285"/>
      <c r="C64" s="286"/>
    </row>
    <row r="65" spans="2:3" ht="15.75">
      <c r="B65" s="285"/>
      <c r="C65" s="286"/>
    </row>
  </sheetData>
  <sheetProtection password="8D83" sheet="1" objects="1" scenarios="1"/>
  <printOptions/>
  <pageMargins left="0.75" right="0.75" top="1" bottom="1" header="0.5" footer="0.5"/>
  <pageSetup horizontalDpi="300" verticalDpi="300" orientation="portrait" paperSize="9" r:id="rId2"/>
  <ignoredErrors>
    <ignoredError sqref="E31" formula="1"/>
  </ignoredErrors>
  <drawing r:id="rId1"/>
</worksheet>
</file>

<file path=xl/worksheets/sheet13.xml><?xml version="1.0" encoding="utf-8"?>
<worksheet xmlns="http://schemas.openxmlformats.org/spreadsheetml/2006/main" xmlns:r="http://schemas.openxmlformats.org/officeDocument/2006/relationships">
  <sheetPr codeName="Sheet16"/>
  <dimension ref="A1:N41"/>
  <sheetViews>
    <sheetView showGridLines="0" zoomScale="75" zoomScaleNormal="75" zoomScalePageLayoutView="0" workbookViewId="0" topLeftCell="A1">
      <selection activeCell="L31" sqref="L31"/>
    </sheetView>
  </sheetViews>
  <sheetFormatPr defaultColWidth="9.140625" defaultRowHeight="12.75"/>
  <cols>
    <col min="1" max="1" width="30.00390625" style="50" customWidth="1"/>
    <col min="2" max="2" width="16.00390625" style="50" bestFit="1" customWidth="1"/>
    <col min="3" max="3" width="18.00390625" style="50" bestFit="1" customWidth="1"/>
    <col min="4" max="4" width="16.00390625" style="50" bestFit="1" customWidth="1"/>
    <col min="5" max="5" width="18.00390625" style="50" bestFit="1" customWidth="1"/>
    <col min="6" max="6" width="16.8515625" style="50" bestFit="1" customWidth="1"/>
    <col min="7" max="7" width="12.00390625" style="50" customWidth="1"/>
    <col min="8" max="8" width="14.57421875" style="50" bestFit="1" customWidth="1"/>
    <col min="9" max="9" width="16.00390625" style="50" bestFit="1" customWidth="1"/>
    <col min="10" max="10" width="15.421875" style="50" bestFit="1" customWidth="1"/>
    <col min="11" max="11" width="3.57421875" style="50" customWidth="1"/>
    <col min="12" max="12" width="21.140625" style="50" customWidth="1"/>
    <col min="13" max="13" width="26.00390625" style="50" customWidth="1"/>
    <col min="14" max="14" width="26.7109375" style="50" customWidth="1"/>
    <col min="15" max="16384" width="9.140625" style="51" customWidth="1"/>
  </cols>
  <sheetData>
    <row r="1" ht="26.25">
      <c r="A1" s="49" t="s">
        <v>111</v>
      </c>
    </row>
    <row r="2" ht="12.75" customHeight="1" thickBot="1"/>
    <row r="3" spans="1:3" ht="16.5" customHeight="1" thickBot="1">
      <c r="A3" s="52" t="s">
        <v>112</v>
      </c>
      <c r="B3" s="297">
        <v>0.06</v>
      </c>
      <c r="C3" s="330">
        <f>IF(Processing!E4=1,Processing!C6,Processing!C44)</f>
        <v>0</v>
      </c>
    </row>
    <row r="4" spans="1:2" ht="16.5" customHeight="1" thickBot="1">
      <c r="A4" s="52"/>
      <c r="B4" s="53"/>
    </row>
    <row r="5" spans="1:14" ht="16.5" customHeight="1" thickBot="1">
      <c r="A5" s="54" t="s">
        <v>30</v>
      </c>
      <c r="B5" s="54" t="s">
        <v>113</v>
      </c>
      <c r="C5" s="54" t="s">
        <v>114</v>
      </c>
      <c r="D5" s="54" t="s">
        <v>215</v>
      </c>
      <c r="E5" s="54" t="s">
        <v>115</v>
      </c>
      <c r="F5" s="54" t="s">
        <v>166</v>
      </c>
      <c r="G5" s="54" t="s">
        <v>66</v>
      </c>
      <c r="H5" s="54" t="s">
        <v>116</v>
      </c>
      <c r="I5" s="54" t="s">
        <v>117</v>
      </c>
      <c r="J5" s="55" t="s">
        <v>118</v>
      </c>
      <c r="L5" s="55" t="s">
        <v>119</v>
      </c>
      <c r="M5" s="54" t="s">
        <v>111</v>
      </c>
      <c r="N5" s="54" t="s">
        <v>120</v>
      </c>
    </row>
    <row r="6" spans="1:14" ht="16.5" customHeight="1">
      <c r="A6" s="56">
        <v>0</v>
      </c>
      <c r="B6" s="57">
        <v>0</v>
      </c>
      <c r="C6" s="58">
        <v>0</v>
      </c>
      <c r="D6" s="58">
        <v>0</v>
      </c>
      <c r="E6" s="58">
        <v>0</v>
      </c>
      <c r="F6" s="58">
        <v>0</v>
      </c>
      <c r="G6" s="58">
        <v>0</v>
      </c>
      <c r="H6" s="58">
        <v>0</v>
      </c>
      <c r="I6" s="59">
        <v>0</v>
      </c>
      <c r="J6" s="60">
        <f>'Capital Expenditure'!AG39</f>
        <v>0</v>
      </c>
      <c r="L6" s="60">
        <f>C6-(SUM(D6:J6))</f>
        <v>0</v>
      </c>
      <c r="M6" s="303">
        <f>L6</f>
        <v>0</v>
      </c>
      <c r="N6" s="61">
        <f>M6</f>
        <v>0</v>
      </c>
    </row>
    <row r="7" spans="1:14" ht="16.5" customHeight="1">
      <c r="A7" s="56">
        <v>1</v>
      </c>
      <c r="B7" s="62">
        <f>'Production Summary'!D5</f>
        <v>0</v>
      </c>
      <c r="C7" s="58">
        <f>IF(Revenue!$H$11+Revenue!$H$19=0,0,(B7/$C$3)*(Revenue!$H$11+Revenue!$H$19))</f>
        <v>0</v>
      </c>
      <c r="D7" s="58">
        <f>IF($C$3=0,0,(B7/$C$3)*'Juveniles &amp; Nursery'!$D$18)</f>
        <v>0</v>
      </c>
      <c r="E7" s="58">
        <f>Labour!$D$12+Labour!$D$20+Labour!$D$28+Labour!$D$34</f>
        <v>0</v>
      </c>
      <c r="F7" s="58">
        <f>IF(Processing!$C$34+Processing!$C$92=0,0,(B7/$C$3)*(Processing!$C$34+Processing!$C$92))</f>
        <v>0</v>
      </c>
      <c r="G7" s="58">
        <f>'Additional Operating Expenses'!$D$9</f>
        <v>0</v>
      </c>
      <c r="H7" s="58">
        <f>'Additional Operating Expenses'!$D$5+'Additional Operating Expenses'!$D$7</f>
        <v>0</v>
      </c>
      <c r="I7" s="59">
        <f>SUM('Additional Operating Expenses'!$D$11:$D$23,'Additional Operating Expenses'!$L$5:$L$23)</f>
        <v>0</v>
      </c>
      <c r="J7" s="58">
        <f>'Capital Expenditure'!AG40</f>
        <v>0</v>
      </c>
      <c r="L7" s="58">
        <f aca="true" t="shared" si="0" ref="L7:L26">C7-(SUM(D7:J7))</f>
        <v>0</v>
      </c>
      <c r="M7" s="303">
        <f aca="true" t="shared" si="1" ref="M7:M26">-(PV($B$3,A7,0,L7))</f>
        <v>0</v>
      </c>
      <c r="N7" s="61">
        <f aca="true" t="shared" si="2" ref="N7:N26">N6+M7</f>
        <v>0</v>
      </c>
    </row>
    <row r="8" spans="1:14" ht="16.5" customHeight="1">
      <c r="A8" s="56">
        <v>2</v>
      </c>
      <c r="B8" s="62">
        <f>'Production Summary'!D6</f>
        <v>0</v>
      </c>
      <c r="C8" s="58">
        <f>IF(Revenue!$H$11+Revenue!$H$19=0,0,(B8/$C$3)*(Revenue!$H$11+Revenue!$H$19))</f>
        <v>0</v>
      </c>
      <c r="D8" s="58">
        <f>IF($C$3=0,0,(B8/$C$3)*'Juveniles &amp; Nursery'!$D$18)</f>
        <v>0</v>
      </c>
      <c r="E8" s="58">
        <f>Labour!$D$12+Labour!$D$20+Labour!$D$28+Labour!$D$34</f>
        <v>0</v>
      </c>
      <c r="F8" s="58">
        <f>IF(Processing!$C$34+Processing!$C$92=0,0,(B8/$C$3)*(Processing!$C$34+Processing!$C$92))</f>
        <v>0</v>
      </c>
      <c r="G8" s="58">
        <f>'Additional Operating Expenses'!$D$9</f>
        <v>0</v>
      </c>
      <c r="H8" s="58">
        <f>'Additional Operating Expenses'!$D$5+'Additional Operating Expenses'!$D$7</f>
        <v>0</v>
      </c>
      <c r="I8" s="59">
        <f>SUM('Additional Operating Expenses'!$D$11:$D$23,'Additional Operating Expenses'!$L$5:$L$23)</f>
        <v>0</v>
      </c>
      <c r="J8" s="58">
        <f>'Capital Expenditure'!AG41</f>
        <v>0</v>
      </c>
      <c r="L8" s="58">
        <f t="shared" si="0"/>
        <v>0</v>
      </c>
      <c r="M8" s="303">
        <f t="shared" si="1"/>
        <v>0</v>
      </c>
      <c r="N8" s="61">
        <f t="shared" si="2"/>
        <v>0</v>
      </c>
    </row>
    <row r="9" spans="1:14" ht="16.5" customHeight="1">
      <c r="A9" s="56">
        <v>3</v>
      </c>
      <c r="B9" s="62">
        <f>'Production Summary'!D7</f>
        <v>0</v>
      </c>
      <c r="C9" s="58">
        <f>IF(Revenue!$H$11+Revenue!$H$19=0,0,(B9/$C$3)*(Revenue!$H$11+Revenue!$H$19))</f>
        <v>0</v>
      </c>
      <c r="D9" s="58">
        <f>IF($C$3=0,0,(B9/$C$3)*'Juveniles &amp; Nursery'!$D$18)</f>
        <v>0</v>
      </c>
      <c r="E9" s="58">
        <f>Labour!$D$12+Labour!$D$20+Labour!$D$28+Labour!$D$34</f>
        <v>0</v>
      </c>
      <c r="F9" s="58">
        <f>IF(Processing!$C$34+Processing!$C$92=0,0,(B9/$C$3)*(Processing!$C$34+Processing!$C$92))</f>
        <v>0</v>
      </c>
      <c r="G9" s="58">
        <f>'Additional Operating Expenses'!$D$9</f>
        <v>0</v>
      </c>
      <c r="H9" s="58">
        <f>'Additional Operating Expenses'!$D$5+'Additional Operating Expenses'!$D$7</f>
        <v>0</v>
      </c>
      <c r="I9" s="59">
        <f>SUM('Additional Operating Expenses'!$D$11:$D$23,'Additional Operating Expenses'!$L$5:$L$23)</f>
        <v>0</v>
      </c>
      <c r="J9" s="58">
        <f>'Capital Expenditure'!AG42</f>
        <v>0</v>
      </c>
      <c r="L9" s="58">
        <f t="shared" si="0"/>
        <v>0</v>
      </c>
      <c r="M9" s="303">
        <f t="shared" si="1"/>
        <v>0</v>
      </c>
      <c r="N9" s="61">
        <f t="shared" si="2"/>
        <v>0</v>
      </c>
    </row>
    <row r="10" spans="1:14" ht="16.5" customHeight="1">
      <c r="A10" s="56">
        <v>4</v>
      </c>
      <c r="B10" s="62">
        <f>'Production Summary'!D8</f>
        <v>0</v>
      </c>
      <c r="C10" s="58">
        <f>IF(Revenue!$H$11+Revenue!$H$19=0,0,(B10/$C$3)*(Revenue!$H$11+Revenue!$H$19))</f>
        <v>0</v>
      </c>
      <c r="D10" s="58">
        <f>IF($C$3=0,0,(B10/$C$3)*'Juveniles &amp; Nursery'!$D$18)</f>
        <v>0</v>
      </c>
      <c r="E10" s="58">
        <f>Labour!$D$12+Labour!$D$20+Labour!$D$28+Labour!$D$34</f>
        <v>0</v>
      </c>
      <c r="F10" s="58">
        <f>IF(Processing!$C$34+Processing!$C$92=0,0,(B10/$C$3)*(Processing!$C$34+Processing!$C$92))</f>
        <v>0</v>
      </c>
      <c r="G10" s="58">
        <f>'Additional Operating Expenses'!$D$9</f>
        <v>0</v>
      </c>
      <c r="H10" s="58">
        <f>'Additional Operating Expenses'!$D$5+'Additional Operating Expenses'!$D$7</f>
        <v>0</v>
      </c>
      <c r="I10" s="59">
        <f>SUM('Additional Operating Expenses'!$D$11:$D$23,'Additional Operating Expenses'!$L$5:$L$23)</f>
        <v>0</v>
      </c>
      <c r="J10" s="58">
        <f>'Capital Expenditure'!AG43</f>
        <v>0</v>
      </c>
      <c r="L10" s="58">
        <f t="shared" si="0"/>
        <v>0</v>
      </c>
      <c r="M10" s="303">
        <f t="shared" si="1"/>
        <v>0</v>
      </c>
      <c r="N10" s="61">
        <f t="shared" si="2"/>
        <v>0</v>
      </c>
    </row>
    <row r="11" spans="1:14" ht="16.5" customHeight="1">
      <c r="A11" s="56">
        <v>5</v>
      </c>
      <c r="B11" s="62">
        <f>'Production Summary'!D9</f>
        <v>0</v>
      </c>
      <c r="C11" s="58">
        <f>IF(Revenue!$H$11+Revenue!$H$19=0,0,(B11/$C$3)*(Revenue!$H$11+Revenue!$H$19))</f>
        <v>0</v>
      </c>
      <c r="D11" s="58">
        <f>IF($C$3=0,0,(B11/$C$3)*'Juveniles &amp; Nursery'!$D$18)</f>
        <v>0</v>
      </c>
      <c r="E11" s="58">
        <f>Labour!$D$12+Labour!$D$20+Labour!$D$28+Labour!$D$34</f>
        <v>0</v>
      </c>
      <c r="F11" s="58">
        <f>IF(Processing!$C$34+Processing!$C$92=0,0,(B11/$C$3)*(Processing!$C$34+Processing!$C$92))</f>
        <v>0</v>
      </c>
      <c r="G11" s="58">
        <f>'Additional Operating Expenses'!$D$9</f>
        <v>0</v>
      </c>
      <c r="H11" s="58">
        <f>'Additional Operating Expenses'!$D$5+'Additional Operating Expenses'!$D$7</f>
        <v>0</v>
      </c>
      <c r="I11" s="59">
        <f>SUM('Additional Operating Expenses'!$D$11:$D$23,'Additional Operating Expenses'!$L$5:$L$23)</f>
        <v>0</v>
      </c>
      <c r="J11" s="58">
        <f>'Capital Expenditure'!AG44</f>
        <v>0</v>
      </c>
      <c r="L11" s="58">
        <f t="shared" si="0"/>
        <v>0</v>
      </c>
      <c r="M11" s="303">
        <f t="shared" si="1"/>
        <v>0</v>
      </c>
      <c r="N11" s="61">
        <f t="shared" si="2"/>
        <v>0</v>
      </c>
    </row>
    <row r="12" spans="1:14" ht="16.5" customHeight="1">
      <c r="A12" s="56">
        <v>6</v>
      </c>
      <c r="B12" s="62">
        <f>'Production Summary'!D10</f>
        <v>0</v>
      </c>
      <c r="C12" s="58">
        <f>IF(Revenue!$H$11+Revenue!$H$19=0,0,(B12/$C$3)*(Revenue!$H$11+Revenue!$H$19))</f>
        <v>0</v>
      </c>
      <c r="D12" s="58">
        <f>IF($C$3=0,0,(B12/$C$3)*'Juveniles &amp; Nursery'!$D$18)</f>
        <v>0</v>
      </c>
      <c r="E12" s="58">
        <f>Labour!$D$12+Labour!$D$20+Labour!$D$28+Labour!$D$34</f>
        <v>0</v>
      </c>
      <c r="F12" s="58">
        <f>IF(Processing!$C$34+Processing!$C$92=0,0,(B12/$C$3)*(Processing!$C$34+Processing!$C$92))</f>
        <v>0</v>
      </c>
      <c r="G12" s="58">
        <f>'Additional Operating Expenses'!$D$9</f>
        <v>0</v>
      </c>
      <c r="H12" s="58">
        <f>'Additional Operating Expenses'!$D$5+'Additional Operating Expenses'!$D$7</f>
        <v>0</v>
      </c>
      <c r="I12" s="59">
        <f>SUM('Additional Operating Expenses'!$D$11:$D$23,'Additional Operating Expenses'!$L$5:$L$23)</f>
        <v>0</v>
      </c>
      <c r="J12" s="58">
        <f>'Capital Expenditure'!AG45</f>
        <v>0</v>
      </c>
      <c r="L12" s="58">
        <f t="shared" si="0"/>
        <v>0</v>
      </c>
      <c r="M12" s="303">
        <f t="shared" si="1"/>
        <v>0</v>
      </c>
      <c r="N12" s="61">
        <f t="shared" si="2"/>
        <v>0</v>
      </c>
    </row>
    <row r="13" spans="1:14" ht="16.5" customHeight="1">
      <c r="A13" s="56">
        <v>7</v>
      </c>
      <c r="B13" s="62">
        <f>'Production Summary'!D11</f>
        <v>0</v>
      </c>
      <c r="C13" s="58">
        <f>IF(Revenue!$H$11+Revenue!$H$19=0,0,(B13/$C$3)*(Revenue!$H$11+Revenue!$H$19))</f>
        <v>0</v>
      </c>
      <c r="D13" s="58">
        <f>IF($C$3=0,0,(B13/$C$3)*'Juveniles &amp; Nursery'!$D$18)</f>
        <v>0</v>
      </c>
      <c r="E13" s="58">
        <f>Labour!$D$12+Labour!$D$20+Labour!$D$28+Labour!$D$34</f>
        <v>0</v>
      </c>
      <c r="F13" s="58">
        <f>IF(Processing!$C$34+Processing!$C$92=0,0,(B13/$C$3)*(Processing!$C$34+Processing!$C$92))</f>
        <v>0</v>
      </c>
      <c r="G13" s="58">
        <f>'Additional Operating Expenses'!$D$9</f>
        <v>0</v>
      </c>
      <c r="H13" s="58">
        <f>'Additional Operating Expenses'!$D$5+'Additional Operating Expenses'!$D$7</f>
        <v>0</v>
      </c>
      <c r="I13" s="59">
        <f>SUM('Additional Operating Expenses'!$D$11:$D$23,'Additional Operating Expenses'!$L$5:$L$23)</f>
        <v>0</v>
      </c>
      <c r="J13" s="58">
        <f>'Capital Expenditure'!AG46</f>
        <v>0</v>
      </c>
      <c r="L13" s="58">
        <f t="shared" si="0"/>
        <v>0</v>
      </c>
      <c r="M13" s="303">
        <f t="shared" si="1"/>
        <v>0</v>
      </c>
      <c r="N13" s="61">
        <f t="shared" si="2"/>
        <v>0</v>
      </c>
    </row>
    <row r="14" spans="1:14" ht="16.5" customHeight="1">
      <c r="A14" s="56">
        <v>8</v>
      </c>
      <c r="B14" s="62">
        <f>'Production Summary'!D12</f>
        <v>0</v>
      </c>
      <c r="C14" s="58">
        <f>IF(Revenue!$H$11+Revenue!$H$19=0,0,(B14/$C$3)*(Revenue!$H$11+Revenue!$H$19))</f>
        <v>0</v>
      </c>
      <c r="D14" s="58">
        <f>IF($C$3=0,0,(B14/$C$3)*'Juveniles &amp; Nursery'!$D$18)</f>
        <v>0</v>
      </c>
      <c r="E14" s="58">
        <f>Labour!$D$12+Labour!$D$20+Labour!$D$28+Labour!$D$34</f>
        <v>0</v>
      </c>
      <c r="F14" s="58">
        <f>IF(Processing!$C$34+Processing!$C$92=0,0,(B14/$C$3)*(Processing!$C$34+Processing!$C$92))</f>
        <v>0</v>
      </c>
      <c r="G14" s="58">
        <f>'Additional Operating Expenses'!$D$9</f>
        <v>0</v>
      </c>
      <c r="H14" s="58">
        <f>'Additional Operating Expenses'!$D$5+'Additional Operating Expenses'!$D$7</f>
        <v>0</v>
      </c>
      <c r="I14" s="59">
        <f>SUM('Additional Operating Expenses'!$D$11:$D$23,'Additional Operating Expenses'!$L$5:$L$23)</f>
        <v>0</v>
      </c>
      <c r="J14" s="58">
        <f>'Capital Expenditure'!AG47</f>
        <v>0</v>
      </c>
      <c r="L14" s="58">
        <f t="shared" si="0"/>
        <v>0</v>
      </c>
      <c r="M14" s="303">
        <f t="shared" si="1"/>
        <v>0</v>
      </c>
      <c r="N14" s="61">
        <f t="shared" si="2"/>
        <v>0</v>
      </c>
    </row>
    <row r="15" spans="1:14" ht="16.5" customHeight="1">
      <c r="A15" s="56">
        <v>9</v>
      </c>
      <c r="B15" s="62">
        <f>'Production Summary'!D13</f>
        <v>0</v>
      </c>
      <c r="C15" s="58">
        <f>IF(Revenue!$H$11+Revenue!$H$19=0,0,(B15/$C$3)*(Revenue!$H$11+Revenue!$H$19))</f>
        <v>0</v>
      </c>
      <c r="D15" s="58">
        <f>IF($C$3=0,0,(B15/$C$3)*'Juveniles &amp; Nursery'!$D$18)</f>
        <v>0</v>
      </c>
      <c r="E15" s="58">
        <f>Labour!$D$12+Labour!$D$20+Labour!$D$28+Labour!$D$34</f>
        <v>0</v>
      </c>
      <c r="F15" s="58">
        <f>IF(Processing!$C$34+Processing!$C$92=0,0,(B15/$C$3)*(Processing!$C$34+Processing!$C$92))</f>
        <v>0</v>
      </c>
      <c r="G15" s="58">
        <f>'Additional Operating Expenses'!$D$9</f>
        <v>0</v>
      </c>
      <c r="H15" s="58">
        <f>'Additional Operating Expenses'!$D$5+'Additional Operating Expenses'!$D$7</f>
        <v>0</v>
      </c>
      <c r="I15" s="59">
        <f>SUM('Additional Operating Expenses'!$D$11:$D$23,'Additional Operating Expenses'!$L$5:$L$23)</f>
        <v>0</v>
      </c>
      <c r="J15" s="58">
        <f>'Capital Expenditure'!AG48</f>
        <v>0</v>
      </c>
      <c r="L15" s="58">
        <f t="shared" si="0"/>
        <v>0</v>
      </c>
      <c r="M15" s="303">
        <f t="shared" si="1"/>
        <v>0</v>
      </c>
      <c r="N15" s="61">
        <f t="shared" si="2"/>
        <v>0</v>
      </c>
    </row>
    <row r="16" spans="1:14" ht="16.5" customHeight="1">
      <c r="A16" s="56">
        <v>10</v>
      </c>
      <c r="B16" s="62">
        <f>'Production Summary'!D14</f>
        <v>0</v>
      </c>
      <c r="C16" s="58">
        <f>IF(Revenue!$H$11+Revenue!$H$19=0,0,(B16/$C$3)*(Revenue!$H$11+Revenue!$H$19))</f>
        <v>0</v>
      </c>
      <c r="D16" s="58">
        <f>IF($C$3=0,0,(B16/$C$3)*'Juveniles &amp; Nursery'!$D$18)</f>
        <v>0</v>
      </c>
      <c r="E16" s="58">
        <f>Labour!$D$12+Labour!$D$20+Labour!$D$28+Labour!$D$34</f>
        <v>0</v>
      </c>
      <c r="F16" s="58">
        <f>IF(Processing!$C$34+Processing!$C$92=0,0,(B16/$C$3)*(Processing!$C$34+Processing!$C$92))</f>
        <v>0</v>
      </c>
      <c r="G16" s="58">
        <f>'Additional Operating Expenses'!$D$9</f>
        <v>0</v>
      </c>
      <c r="H16" s="58">
        <f>'Additional Operating Expenses'!$D$5+'Additional Operating Expenses'!$D$7</f>
        <v>0</v>
      </c>
      <c r="I16" s="59">
        <f>SUM('Additional Operating Expenses'!$D$11:$D$23,'Additional Operating Expenses'!$L$5:$L$23)</f>
        <v>0</v>
      </c>
      <c r="J16" s="58">
        <f>'Capital Expenditure'!AG49</f>
        <v>0</v>
      </c>
      <c r="L16" s="58">
        <f t="shared" si="0"/>
        <v>0</v>
      </c>
      <c r="M16" s="303">
        <f t="shared" si="1"/>
        <v>0</v>
      </c>
      <c r="N16" s="61">
        <f t="shared" si="2"/>
        <v>0</v>
      </c>
    </row>
    <row r="17" spans="1:14" ht="16.5" customHeight="1">
      <c r="A17" s="56">
        <v>11</v>
      </c>
      <c r="B17" s="62">
        <f>'Production Summary'!D15</f>
        <v>0</v>
      </c>
      <c r="C17" s="58">
        <f>IF(Revenue!$H$11+Revenue!$H$19=0,0,(B17/$C$3)*(Revenue!$H$11+Revenue!$H$19))</f>
        <v>0</v>
      </c>
      <c r="D17" s="58">
        <f>IF($C$3=0,0,(B17/$C$3)*'Juveniles &amp; Nursery'!$D$18)</f>
        <v>0</v>
      </c>
      <c r="E17" s="58">
        <f>Labour!$D$12+Labour!$D$20+Labour!$D$28+Labour!$D$34</f>
        <v>0</v>
      </c>
      <c r="F17" s="58">
        <f>IF(Processing!$C$34+Processing!$C$92=0,0,(B17/$C$3)*(Processing!$C$34+Processing!$C$92))</f>
        <v>0</v>
      </c>
      <c r="G17" s="58">
        <f>'Additional Operating Expenses'!$D$9</f>
        <v>0</v>
      </c>
      <c r="H17" s="58">
        <f>'Additional Operating Expenses'!$D$5+'Additional Operating Expenses'!$D$7</f>
        <v>0</v>
      </c>
      <c r="I17" s="59">
        <f>SUM('Additional Operating Expenses'!$D$11:$D$23,'Additional Operating Expenses'!$L$5:$L$23)</f>
        <v>0</v>
      </c>
      <c r="J17" s="58">
        <f>'Capital Expenditure'!AG50</f>
        <v>0</v>
      </c>
      <c r="L17" s="58">
        <f t="shared" si="0"/>
        <v>0</v>
      </c>
      <c r="M17" s="303">
        <f t="shared" si="1"/>
        <v>0</v>
      </c>
      <c r="N17" s="61">
        <f t="shared" si="2"/>
        <v>0</v>
      </c>
    </row>
    <row r="18" spans="1:14" ht="16.5" customHeight="1">
      <c r="A18" s="56">
        <v>12</v>
      </c>
      <c r="B18" s="62">
        <f>'Production Summary'!D16</f>
        <v>0</v>
      </c>
      <c r="C18" s="58">
        <f>IF(Revenue!$H$11+Revenue!$H$19=0,0,(B18/$C$3)*(Revenue!$H$11+Revenue!$H$19))</f>
        <v>0</v>
      </c>
      <c r="D18" s="58">
        <f>IF($C$3=0,0,(B18/$C$3)*'Juveniles &amp; Nursery'!$D$18)</f>
        <v>0</v>
      </c>
      <c r="E18" s="58">
        <f>Labour!$D$12+Labour!$D$20+Labour!$D$28+Labour!$D$34</f>
        <v>0</v>
      </c>
      <c r="F18" s="58">
        <f>IF(Processing!$C$34+Processing!$C$92=0,0,(B18/$C$3)*(Processing!$C$34+Processing!$C$92))</f>
        <v>0</v>
      </c>
      <c r="G18" s="58">
        <f>'Additional Operating Expenses'!$D$9</f>
        <v>0</v>
      </c>
      <c r="H18" s="58">
        <f>'Additional Operating Expenses'!$D$5+'Additional Operating Expenses'!$D$7</f>
        <v>0</v>
      </c>
      <c r="I18" s="59">
        <f>SUM('Additional Operating Expenses'!$D$11:$D$23,'Additional Operating Expenses'!$L$5:$L$23)</f>
        <v>0</v>
      </c>
      <c r="J18" s="58">
        <f>'Capital Expenditure'!AG51</f>
        <v>0</v>
      </c>
      <c r="L18" s="58">
        <f t="shared" si="0"/>
        <v>0</v>
      </c>
      <c r="M18" s="303">
        <f t="shared" si="1"/>
        <v>0</v>
      </c>
      <c r="N18" s="61">
        <f t="shared" si="2"/>
        <v>0</v>
      </c>
    </row>
    <row r="19" spans="1:14" ht="16.5" customHeight="1">
      <c r="A19" s="56">
        <v>13</v>
      </c>
      <c r="B19" s="62">
        <f>'Production Summary'!D17</f>
        <v>0</v>
      </c>
      <c r="C19" s="58">
        <f>IF(Revenue!$H$11+Revenue!$H$19=0,0,(B19/$C$3)*(Revenue!$H$11+Revenue!$H$19))</f>
        <v>0</v>
      </c>
      <c r="D19" s="58">
        <f>IF($C$3=0,0,(B19/$C$3)*'Juveniles &amp; Nursery'!$D$18)</f>
        <v>0</v>
      </c>
      <c r="E19" s="58">
        <f>Labour!$D$12+Labour!$D$20+Labour!$D$28+Labour!$D$34</f>
        <v>0</v>
      </c>
      <c r="F19" s="58">
        <f>IF(Processing!$C$34+Processing!$C$92=0,0,(B19/$C$3)*(Processing!$C$34+Processing!$C$92))</f>
        <v>0</v>
      </c>
      <c r="G19" s="58">
        <f>'Additional Operating Expenses'!$D$9</f>
        <v>0</v>
      </c>
      <c r="H19" s="58">
        <f>'Additional Operating Expenses'!$D$5+'Additional Operating Expenses'!$D$7</f>
        <v>0</v>
      </c>
      <c r="I19" s="59">
        <f>SUM('Additional Operating Expenses'!$D$11:$D$23,'Additional Operating Expenses'!$L$5:$L$23)</f>
        <v>0</v>
      </c>
      <c r="J19" s="58">
        <f>'Capital Expenditure'!AG52</f>
        <v>0</v>
      </c>
      <c r="L19" s="58">
        <f t="shared" si="0"/>
        <v>0</v>
      </c>
      <c r="M19" s="303">
        <f t="shared" si="1"/>
        <v>0</v>
      </c>
      <c r="N19" s="61">
        <f t="shared" si="2"/>
        <v>0</v>
      </c>
    </row>
    <row r="20" spans="1:14" ht="16.5" customHeight="1">
      <c r="A20" s="56">
        <v>14</v>
      </c>
      <c r="B20" s="62">
        <f>'Production Summary'!D18</f>
        <v>0</v>
      </c>
      <c r="C20" s="58">
        <f>IF(Revenue!$H$11+Revenue!$H$19=0,0,(B20/$C$3)*(Revenue!$H$11+Revenue!$H$19))</f>
        <v>0</v>
      </c>
      <c r="D20" s="58">
        <f>IF($C$3=0,0,(B20/$C$3)*'Juveniles &amp; Nursery'!$D$18)</f>
        <v>0</v>
      </c>
      <c r="E20" s="58">
        <f>Labour!$D$12+Labour!$D$20+Labour!$D$28+Labour!$D$34</f>
        <v>0</v>
      </c>
      <c r="F20" s="58">
        <f>IF(Processing!$C$34+Processing!$C$92=0,0,(B20/$C$3)*(Processing!$C$34+Processing!$C$92))</f>
        <v>0</v>
      </c>
      <c r="G20" s="58">
        <f>'Additional Operating Expenses'!$D$9</f>
        <v>0</v>
      </c>
      <c r="H20" s="58">
        <f>'Additional Operating Expenses'!$D$5+'Additional Operating Expenses'!$D$7</f>
        <v>0</v>
      </c>
      <c r="I20" s="59">
        <f>SUM('Additional Operating Expenses'!$D$11:$D$23,'Additional Operating Expenses'!$L$5:$L$23)</f>
        <v>0</v>
      </c>
      <c r="J20" s="58">
        <f>'Capital Expenditure'!AG53</f>
        <v>0</v>
      </c>
      <c r="L20" s="58">
        <f t="shared" si="0"/>
        <v>0</v>
      </c>
      <c r="M20" s="303">
        <f t="shared" si="1"/>
        <v>0</v>
      </c>
      <c r="N20" s="61">
        <f t="shared" si="2"/>
        <v>0</v>
      </c>
    </row>
    <row r="21" spans="1:14" ht="16.5" customHeight="1">
      <c r="A21" s="56">
        <v>15</v>
      </c>
      <c r="B21" s="62">
        <f>'Production Summary'!D19</f>
        <v>0</v>
      </c>
      <c r="C21" s="58">
        <f>IF(Revenue!$H$11+Revenue!$H$19=0,0,(B21/$C$3)*(Revenue!$H$11+Revenue!$H$19))</f>
        <v>0</v>
      </c>
      <c r="D21" s="58">
        <f>IF($C$3=0,0,(B21/$C$3)*'Juveniles &amp; Nursery'!$D$18)</f>
        <v>0</v>
      </c>
      <c r="E21" s="58">
        <f>Labour!$D$12+Labour!$D$20+Labour!$D$28+Labour!$D$34</f>
        <v>0</v>
      </c>
      <c r="F21" s="58">
        <f>IF(Processing!$C$34+Processing!$C$92=0,0,(B21/$C$3)*(Processing!$C$34+Processing!$C$92))</f>
        <v>0</v>
      </c>
      <c r="G21" s="58">
        <f>'Additional Operating Expenses'!$D$9</f>
        <v>0</v>
      </c>
      <c r="H21" s="58">
        <f>'Additional Operating Expenses'!$D$5+'Additional Operating Expenses'!$D$7</f>
        <v>0</v>
      </c>
      <c r="I21" s="59">
        <f>SUM('Additional Operating Expenses'!$D$11:$D$23,'Additional Operating Expenses'!$L$5:$L$23)</f>
        <v>0</v>
      </c>
      <c r="J21" s="58">
        <f>'Capital Expenditure'!AG54</f>
        <v>0</v>
      </c>
      <c r="L21" s="58">
        <f t="shared" si="0"/>
        <v>0</v>
      </c>
      <c r="M21" s="303">
        <f t="shared" si="1"/>
        <v>0</v>
      </c>
      <c r="N21" s="61">
        <f t="shared" si="2"/>
        <v>0</v>
      </c>
    </row>
    <row r="22" spans="1:14" ht="16.5" customHeight="1">
      <c r="A22" s="56">
        <v>16</v>
      </c>
      <c r="B22" s="62">
        <f>'Production Summary'!D20</f>
        <v>0</v>
      </c>
      <c r="C22" s="58">
        <f>IF(Revenue!$H$11+Revenue!$H$19=0,0,(B22/$C$3)*(Revenue!$H$11+Revenue!$H$19))</f>
        <v>0</v>
      </c>
      <c r="D22" s="58">
        <f>IF($C$3=0,0,(B22/$C$3)*'Juveniles &amp; Nursery'!$D$18)</f>
        <v>0</v>
      </c>
      <c r="E22" s="58">
        <f>Labour!$D$12+Labour!$D$20+Labour!$D$28+Labour!$D$34</f>
        <v>0</v>
      </c>
      <c r="F22" s="58">
        <f>IF(Processing!$C$34+Processing!$C$92=0,0,(B22/$C$3)*(Processing!$C$34+Processing!$C$92))</f>
        <v>0</v>
      </c>
      <c r="G22" s="58">
        <f>'Additional Operating Expenses'!$D$9</f>
        <v>0</v>
      </c>
      <c r="H22" s="58">
        <f>'Additional Operating Expenses'!$D$5+'Additional Operating Expenses'!$D$7</f>
        <v>0</v>
      </c>
      <c r="I22" s="59">
        <f>SUM('Additional Operating Expenses'!$D$11:$D$23,'Additional Operating Expenses'!$L$5:$L$23)</f>
        <v>0</v>
      </c>
      <c r="J22" s="58">
        <f>'Capital Expenditure'!AG55</f>
        <v>0</v>
      </c>
      <c r="L22" s="58">
        <f t="shared" si="0"/>
        <v>0</v>
      </c>
      <c r="M22" s="303">
        <f t="shared" si="1"/>
        <v>0</v>
      </c>
      <c r="N22" s="61">
        <f t="shared" si="2"/>
        <v>0</v>
      </c>
    </row>
    <row r="23" spans="1:14" ht="16.5" customHeight="1">
      <c r="A23" s="56">
        <v>17</v>
      </c>
      <c r="B23" s="62">
        <f>'Production Summary'!D21</f>
        <v>0</v>
      </c>
      <c r="C23" s="58">
        <f>IF(Revenue!$H$11+Revenue!$H$19=0,0,(B23/$C$3)*(Revenue!$H$11+Revenue!$H$19))</f>
        <v>0</v>
      </c>
      <c r="D23" s="58">
        <f>IF($C$3=0,0,(B23/$C$3)*'Juveniles &amp; Nursery'!$D$18)</f>
        <v>0</v>
      </c>
      <c r="E23" s="58">
        <f>Labour!$D$12+Labour!$D$20+Labour!$D$28+Labour!$D$34</f>
        <v>0</v>
      </c>
      <c r="F23" s="58">
        <f>IF(Processing!$C$34+Processing!$C$92=0,0,(B23/$C$3)*(Processing!$C$34+Processing!$C$92))</f>
        <v>0</v>
      </c>
      <c r="G23" s="58">
        <f>'Additional Operating Expenses'!$D$9</f>
        <v>0</v>
      </c>
      <c r="H23" s="58">
        <f>'Additional Operating Expenses'!$D$5+'Additional Operating Expenses'!$D$7</f>
        <v>0</v>
      </c>
      <c r="I23" s="59">
        <f>SUM('Additional Operating Expenses'!$D$11:$D$23,'Additional Operating Expenses'!$L$5:$L$23)</f>
        <v>0</v>
      </c>
      <c r="J23" s="58">
        <f>'Capital Expenditure'!AG56</f>
        <v>0</v>
      </c>
      <c r="L23" s="58">
        <f t="shared" si="0"/>
        <v>0</v>
      </c>
      <c r="M23" s="303">
        <f t="shared" si="1"/>
        <v>0</v>
      </c>
      <c r="N23" s="61">
        <f t="shared" si="2"/>
        <v>0</v>
      </c>
    </row>
    <row r="24" spans="1:14" ht="16.5" customHeight="1">
      <c r="A24" s="56">
        <v>18</v>
      </c>
      <c r="B24" s="62">
        <f>'Production Summary'!D22</f>
        <v>0</v>
      </c>
      <c r="C24" s="58">
        <f>IF(Revenue!$H$11+Revenue!$H$19=0,0,(B24/$C$3)*(Revenue!$H$11+Revenue!$H$19))</f>
        <v>0</v>
      </c>
      <c r="D24" s="58">
        <f>IF($C$3=0,0,(B24/$C$3)*'Juveniles &amp; Nursery'!$D$18)</f>
        <v>0</v>
      </c>
      <c r="E24" s="58">
        <f>Labour!$D$12+Labour!$D$20+Labour!$D$28+Labour!$D$34</f>
        <v>0</v>
      </c>
      <c r="F24" s="58">
        <f>IF(Processing!$C$34+Processing!$C$92=0,0,(B24/$C$3)*(Processing!$C$34+Processing!$C$92))</f>
        <v>0</v>
      </c>
      <c r="G24" s="58">
        <f>'Additional Operating Expenses'!$D$9</f>
        <v>0</v>
      </c>
      <c r="H24" s="58">
        <f>'Additional Operating Expenses'!$D$5+'Additional Operating Expenses'!$D$7</f>
        <v>0</v>
      </c>
      <c r="I24" s="59">
        <f>SUM('Additional Operating Expenses'!$D$11:$D$23,'Additional Operating Expenses'!$L$5:$L$23)</f>
        <v>0</v>
      </c>
      <c r="J24" s="58">
        <f>'Capital Expenditure'!AG57</f>
        <v>0</v>
      </c>
      <c r="L24" s="58">
        <f t="shared" si="0"/>
        <v>0</v>
      </c>
      <c r="M24" s="303">
        <f t="shared" si="1"/>
        <v>0</v>
      </c>
      <c r="N24" s="61">
        <f t="shared" si="2"/>
        <v>0</v>
      </c>
    </row>
    <row r="25" spans="1:14" ht="16.5" customHeight="1">
      <c r="A25" s="56">
        <v>19</v>
      </c>
      <c r="B25" s="62">
        <f>'Production Summary'!D23</f>
        <v>0</v>
      </c>
      <c r="C25" s="58">
        <f>IF(Revenue!$H$11+Revenue!$H$19=0,0,(B25/$C$3)*(Revenue!$H$11+Revenue!$H$19))</f>
        <v>0</v>
      </c>
      <c r="D25" s="58">
        <f>IF($C$3=0,0,(B25/$C$3)*'Juveniles &amp; Nursery'!$D$18)</f>
        <v>0</v>
      </c>
      <c r="E25" s="58">
        <f>Labour!$D$12+Labour!$D$20+Labour!$D$28+Labour!$D$34</f>
        <v>0</v>
      </c>
      <c r="F25" s="58">
        <f>IF(Processing!$C$34+Processing!$C$92=0,0,(B25/$C$3)*(Processing!$C$34+Processing!$C$92))</f>
        <v>0</v>
      </c>
      <c r="G25" s="58">
        <f>'Additional Operating Expenses'!$D$9</f>
        <v>0</v>
      </c>
      <c r="H25" s="58">
        <f>'Additional Operating Expenses'!$D$5+'Additional Operating Expenses'!$D$7</f>
        <v>0</v>
      </c>
      <c r="I25" s="59">
        <f>SUM('Additional Operating Expenses'!$D$11:$D$23,'Additional Operating Expenses'!$L$5:$L$23)</f>
        <v>0</v>
      </c>
      <c r="J25" s="58">
        <f>'Capital Expenditure'!AG58</f>
        <v>0</v>
      </c>
      <c r="L25" s="58">
        <f t="shared" si="0"/>
        <v>0</v>
      </c>
      <c r="M25" s="303">
        <f t="shared" si="1"/>
        <v>0</v>
      </c>
      <c r="N25" s="61">
        <f t="shared" si="2"/>
        <v>0</v>
      </c>
    </row>
    <row r="26" spans="1:14" ht="16.5" customHeight="1" thickBot="1">
      <c r="A26" s="56">
        <v>20</v>
      </c>
      <c r="B26" s="62">
        <f>'Production Summary'!D24</f>
        <v>0</v>
      </c>
      <c r="C26" s="58">
        <f>IF(Revenue!$H$11+Revenue!$H$19=0,0,(B26/$C$3)*(Revenue!$H$11+Revenue!$H$19))</f>
        <v>0</v>
      </c>
      <c r="D26" s="58">
        <f>IF($C$3=0,0,(B26/$C$3)*'Juveniles &amp; Nursery'!$D$18)</f>
        <v>0</v>
      </c>
      <c r="E26" s="58">
        <f>Labour!$D$12+Labour!$D$20+Labour!$D$28+Labour!$D$34</f>
        <v>0</v>
      </c>
      <c r="F26" s="58">
        <f>IF(Processing!$C$34+Processing!$C$92=0,0,(B26/$C$3)*(Processing!$C$34+Processing!$C$92))</f>
        <v>0</v>
      </c>
      <c r="G26" s="58">
        <f>'Additional Operating Expenses'!$D$9</f>
        <v>0</v>
      </c>
      <c r="H26" s="58">
        <f>'Additional Operating Expenses'!$D$5+'Additional Operating Expenses'!$D$7</f>
        <v>0</v>
      </c>
      <c r="I26" s="59">
        <f>SUM('Additional Operating Expenses'!$D$11:$D$23,'Additional Operating Expenses'!$L$5:$L$23)</f>
        <v>0</v>
      </c>
      <c r="J26" s="63">
        <f>-'Capital Expenditure'!AH59</f>
        <v>0</v>
      </c>
      <c r="L26" s="63">
        <f t="shared" si="0"/>
        <v>0</v>
      </c>
      <c r="M26" s="304">
        <f t="shared" si="1"/>
        <v>0</v>
      </c>
      <c r="N26" s="64">
        <f t="shared" si="2"/>
        <v>0</v>
      </c>
    </row>
    <row r="27" spans="1:12" ht="16.5" customHeight="1" thickBot="1">
      <c r="A27" s="54" t="s">
        <v>121</v>
      </c>
      <c r="B27" s="65">
        <f aca="true" t="shared" si="3" ref="B27:I27">NPV($B$3,B7:B26)</f>
        <v>0</v>
      </c>
      <c r="C27" s="66">
        <f t="shared" si="3"/>
        <v>0</v>
      </c>
      <c r="D27" s="66">
        <f t="shared" si="3"/>
        <v>0</v>
      </c>
      <c r="E27" s="66">
        <f t="shared" si="3"/>
        <v>0</v>
      </c>
      <c r="F27" s="66">
        <f t="shared" si="3"/>
        <v>0</v>
      </c>
      <c r="G27" s="66">
        <f t="shared" si="3"/>
        <v>0</v>
      </c>
      <c r="H27" s="66">
        <f t="shared" si="3"/>
        <v>0</v>
      </c>
      <c r="I27" s="66">
        <f t="shared" si="3"/>
        <v>0</v>
      </c>
      <c r="J27" s="67">
        <f>NPV($B$3,J7:J26)+J6</f>
        <v>0</v>
      </c>
      <c r="L27" s="75">
        <f>(NPV($B$3,L7:L26))+L6</f>
        <v>0</v>
      </c>
    </row>
    <row r="28" spans="1:12" ht="16.5" customHeight="1" thickBot="1">
      <c r="A28" s="54" t="s">
        <v>122</v>
      </c>
      <c r="B28" s="68">
        <f aca="true" t="shared" si="4" ref="B28:J28">-(PMT($B$3,20,B27))</f>
        <v>0</v>
      </c>
      <c r="C28" s="69">
        <f t="shared" si="4"/>
        <v>0</v>
      </c>
      <c r="D28" s="69">
        <f t="shared" si="4"/>
        <v>0</v>
      </c>
      <c r="E28" s="69">
        <f t="shared" si="4"/>
        <v>0</v>
      </c>
      <c r="F28" s="69">
        <f t="shared" si="4"/>
        <v>0</v>
      </c>
      <c r="G28" s="69">
        <f t="shared" si="4"/>
        <v>0</v>
      </c>
      <c r="H28" s="69">
        <f t="shared" si="4"/>
        <v>0</v>
      </c>
      <c r="I28" s="69">
        <f t="shared" si="4"/>
        <v>0</v>
      </c>
      <c r="J28" s="69">
        <f t="shared" si="4"/>
        <v>0</v>
      </c>
      <c r="L28" s="76">
        <f>-(PMT($B$3,20,L27))</f>
        <v>0</v>
      </c>
    </row>
    <row r="29" spans="1:10" ht="16.5" customHeight="1" thickBot="1">
      <c r="A29" s="54" t="s">
        <v>123</v>
      </c>
      <c r="B29" s="54"/>
      <c r="C29" s="70">
        <f>IF($B$28=0,0,C28/$B$28)</f>
        <v>0</v>
      </c>
      <c r="D29" s="70">
        <f aca="true" t="shared" si="5" ref="D29:J29">IF($B$28=0,0,D28/$B$28)</f>
        <v>0</v>
      </c>
      <c r="E29" s="70">
        <f t="shared" si="5"/>
        <v>0</v>
      </c>
      <c r="F29" s="70">
        <f t="shared" si="5"/>
        <v>0</v>
      </c>
      <c r="G29" s="70">
        <f t="shared" si="5"/>
        <v>0</v>
      </c>
      <c r="H29" s="70">
        <f t="shared" si="5"/>
        <v>0</v>
      </c>
      <c r="I29" s="70">
        <f t="shared" si="5"/>
        <v>0</v>
      </c>
      <c r="J29" s="70">
        <f t="shared" si="5"/>
        <v>0</v>
      </c>
    </row>
    <row r="30" spans="1:2" ht="16.5" customHeight="1">
      <c r="A30" s="77" t="s">
        <v>93</v>
      </c>
      <c r="B30" s="51"/>
    </row>
    <row r="31" spans="1:4" ht="16.5" customHeight="1">
      <c r="A31" s="52" t="s">
        <v>124</v>
      </c>
      <c r="C31" s="71">
        <f>(C27-(SUM(E27:J27)))</f>
        <v>0</v>
      </c>
      <c r="D31" s="71"/>
    </row>
    <row r="32" spans="1:6" ht="16.5" customHeight="1">
      <c r="A32" s="52" t="s">
        <v>125</v>
      </c>
      <c r="C32" s="72">
        <f>L28</f>
        <v>0</v>
      </c>
      <c r="D32" s="72"/>
      <c r="F32" s="73" t="s">
        <v>93</v>
      </c>
    </row>
    <row r="33" spans="1:4" ht="16.5" customHeight="1">
      <c r="A33" s="52" t="s">
        <v>126</v>
      </c>
      <c r="C33" s="74" t="e">
        <f>IRR(L6:L26,0.05)</f>
        <v>#NUM!</v>
      </c>
      <c r="D33" s="74"/>
    </row>
    <row r="34" ht="10.5" customHeight="1"/>
    <row r="35" spans="1:3" ht="15.75" customHeight="1">
      <c r="A35" s="299" t="s">
        <v>215</v>
      </c>
      <c r="B35" s="300">
        <f>D28</f>
        <v>0</v>
      </c>
      <c r="C35" s="302">
        <f>D29</f>
        <v>0</v>
      </c>
    </row>
    <row r="36" spans="1:4" ht="15.75">
      <c r="A36" s="299" t="str">
        <f>E5</f>
        <v>Labour</v>
      </c>
      <c r="B36" s="300">
        <f>E28</f>
        <v>0</v>
      </c>
      <c r="C36" s="301">
        <f>E29</f>
        <v>0</v>
      </c>
      <c r="D36" s="298"/>
    </row>
    <row r="37" spans="1:4" ht="15.75">
      <c r="A37" s="299" t="str">
        <f>F5</f>
        <v>Process/Pack</v>
      </c>
      <c r="B37" s="300">
        <f>F28</f>
        <v>0</v>
      </c>
      <c r="C37" s="301">
        <f>F29</f>
        <v>0</v>
      </c>
      <c r="D37" s="298"/>
    </row>
    <row r="38" spans="1:4" ht="15.75">
      <c r="A38" s="299" t="str">
        <f>G5</f>
        <v>Electricity</v>
      </c>
      <c r="B38" s="300">
        <f>G28</f>
        <v>0</v>
      </c>
      <c r="C38" s="301">
        <f>G29</f>
        <v>0</v>
      </c>
      <c r="D38" s="298"/>
    </row>
    <row r="39" spans="1:4" ht="15.75">
      <c r="A39" s="299" t="str">
        <f>H5</f>
        <v>F.O.R.M.</v>
      </c>
      <c r="B39" s="300">
        <f>H28</f>
        <v>0</v>
      </c>
      <c r="C39" s="301">
        <f>H29</f>
        <v>0</v>
      </c>
      <c r="D39" s="298"/>
    </row>
    <row r="40" spans="1:4" ht="15.75">
      <c r="A40" s="299" t="str">
        <f>I5</f>
        <v>Operating</v>
      </c>
      <c r="B40" s="300">
        <f>I28</f>
        <v>0</v>
      </c>
      <c r="C40" s="301">
        <f>I29</f>
        <v>0</v>
      </c>
      <c r="D40" s="298"/>
    </row>
    <row r="41" spans="1:4" ht="15.75">
      <c r="A41" s="299" t="str">
        <f>J5</f>
        <v>Capital</v>
      </c>
      <c r="B41" s="300">
        <f>J28</f>
        <v>0</v>
      </c>
      <c r="C41" s="301">
        <f>J29</f>
        <v>0</v>
      </c>
      <c r="D41" s="298"/>
    </row>
    <row r="50" ht="14.25" customHeight="1"/>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7"/>
  <dimension ref="A1:M44"/>
  <sheetViews>
    <sheetView showGridLines="0" showRowColHeaders="0" zoomScale="75" zoomScaleNormal="75" zoomScalePageLayoutView="0" workbookViewId="0" topLeftCell="A1">
      <selection activeCell="I13" sqref="I13"/>
    </sheetView>
  </sheetViews>
  <sheetFormatPr defaultColWidth="9.140625" defaultRowHeight="12.75"/>
  <cols>
    <col min="1" max="1" width="9.140625" style="210" customWidth="1"/>
    <col min="2" max="2" width="33.421875" style="210" customWidth="1"/>
    <col min="3" max="3" width="21.8515625" style="210" customWidth="1"/>
    <col min="4" max="4" width="23.8515625" style="227" customWidth="1"/>
    <col min="5" max="7" width="23.8515625" style="210" customWidth="1"/>
    <col min="8" max="8" width="3.57421875" style="210" customWidth="1"/>
    <col min="9" max="9" width="26.28125" style="210" customWidth="1"/>
    <col min="10" max="10" width="3.00390625" style="210" customWidth="1"/>
    <col min="11" max="11" width="16.57421875" style="210" customWidth="1"/>
    <col min="12" max="16384" width="9.140625" style="210" customWidth="1"/>
  </cols>
  <sheetData>
    <row r="1" ht="26.25">
      <c r="A1" s="211" t="s">
        <v>127</v>
      </c>
    </row>
    <row r="2" ht="26.25">
      <c r="A2" s="211"/>
    </row>
    <row r="4" spans="1:6" ht="18.75">
      <c r="A4" s="212" t="s">
        <v>128</v>
      </c>
      <c r="F4" s="212" t="s">
        <v>129</v>
      </c>
    </row>
    <row r="6" spans="2:11" ht="15.75">
      <c r="B6" s="210" t="s">
        <v>130</v>
      </c>
      <c r="D6" s="215">
        <f>DCF!B28</f>
        <v>0</v>
      </c>
      <c r="G6" s="210" t="s">
        <v>131</v>
      </c>
      <c r="I6" s="344">
        <f>DCF!C31</f>
        <v>0</v>
      </c>
      <c r="K6" s="347"/>
    </row>
    <row r="7" spans="9:11" ht="7.5" customHeight="1">
      <c r="I7" s="349"/>
      <c r="K7" s="235"/>
    </row>
    <row r="8" spans="2:11" ht="15.75">
      <c r="B8" s="210" t="s">
        <v>132</v>
      </c>
      <c r="D8" s="344">
        <f>DCF!C28</f>
        <v>0</v>
      </c>
      <c r="E8" s="347"/>
      <c r="G8" s="210" t="s">
        <v>133</v>
      </c>
      <c r="I8" s="344">
        <f>DCF!C32</f>
        <v>0</v>
      </c>
      <c r="K8" s="347"/>
    </row>
    <row r="9" spans="4:5" ht="7.5" customHeight="1">
      <c r="D9" s="352"/>
      <c r="E9" s="235"/>
    </row>
    <row r="10" spans="2:9" ht="15.75">
      <c r="B10" s="210" t="s">
        <v>134</v>
      </c>
      <c r="D10" s="344">
        <f>SUM(DCF!D28:J28)</f>
        <v>0</v>
      </c>
      <c r="E10" s="347"/>
      <c r="G10" s="210" t="s">
        <v>135</v>
      </c>
      <c r="I10" s="308" t="e">
        <f>DCF!C33</f>
        <v>#NUM!</v>
      </c>
    </row>
    <row r="11" ht="7.5" customHeight="1">
      <c r="E11" s="235"/>
    </row>
    <row r="12" spans="2:9" ht="15.75">
      <c r="B12" s="210" t="s">
        <v>136</v>
      </c>
      <c r="D12" s="350">
        <f>SUM(DCF!D29:J29)</f>
        <v>0</v>
      </c>
      <c r="E12" s="351"/>
      <c r="G12" s="210" t="s">
        <v>137</v>
      </c>
      <c r="I12" s="229">
        <f>IF(D6=0,0,DCF!C28/SUM(DCF!D28:J28))</f>
        <v>0</v>
      </c>
    </row>
    <row r="13" spans="4:5" ht="7.5" customHeight="1">
      <c r="D13" s="332"/>
      <c r="E13" s="235"/>
    </row>
    <row r="14" spans="2:13" ht="15.75">
      <c r="B14" s="210" t="s">
        <v>251</v>
      </c>
      <c r="D14" s="350">
        <f>DCF!C29</f>
        <v>0</v>
      </c>
      <c r="E14" s="351"/>
      <c r="G14" s="235"/>
      <c r="H14" s="235"/>
      <c r="I14" s="305"/>
      <c r="J14" s="285"/>
      <c r="K14" s="235"/>
      <c r="L14" s="235"/>
      <c r="M14" s="235"/>
    </row>
    <row r="16" ht="18.75">
      <c r="A16" s="212" t="s">
        <v>138</v>
      </c>
    </row>
    <row r="17" spans="4:6" ht="15.75">
      <c r="D17" s="221" t="s">
        <v>139</v>
      </c>
      <c r="F17" s="221" t="s">
        <v>28</v>
      </c>
    </row>
    <row r="18" ht="6" customHeight="1"/>
    <row r="19" spans="2:6" ht="15.75">
      <c r="B19" s="306" t="str">
        <f>DCF!A35</f>
        <v>Juveniles</v>
      </c>
      <c r="D19" s="344">
        <f>DCF!B35</f>
        <v>0</v>
      </c>
      <c r="F19" s="350">
        <f>DCF!C35</f>
        <v>0</v>
      </c>
    </row>
    <row r="20" spans="2:6" ht="7.5" customHeight="1">
      <c r="B20" s="307"/>
      <c r="D20" s="352"/>
      <c r="F20" s="332"/>
    </row>
    <row r="21" spans="2:6" ht="15.75">
      <c r="B21" s="306" t="str">
        <f>DCF!A36</f>
        <v>Labour</v>
      </c>
      <c r="D21" s="344">
        <f>DCF!B36</f>
        <v>0</v>
      </c>
      <c r="F21" s="350">
        <f>DCF!C36</f>
        <v>0</v>
      </c>
    </row>
    <row r="22" spans="2:6" ht="7.5" customHeight="1">
      <c r="B22" s="307"/>
      <c r="D22" s="352"/>
      <c r="F22" s="332"/>
    </row>
    <row r="23" spans="2:6" ht="15.75">
      <c r="B23" s="306" t="str">
        <f>DCF!A37</f>
        <v>Process/Pack</v>
      </c>
      <c r="D23" s="344">
        <f>DCF!B37</f>
        <v>0</v>
      </c>
      <c r="F23" s="350">
        <f>DCF!C37</f>
        <v>0</v>
      </c>
    </row>
    <row r="24" spans="2:6" ht="7.5" customHeight="1">
      <c r="B24" s="307"/>
      <c r="D24" s="352"/>
      <c r="F24" s="332"/>
    </row>
    <row r="25" spans="2:6" ht="15.75">
      <c r="B25" s="306" t="str">
        <f>DCF!A38</f>
        <v>Electricity</v>
      </c>
      <c r="D25" s="344">
        <f>DCF!B38</f>
        <v>0</v>
      </c>
      <c r="F25" s="350">
        <f>DCF!C38</f>
        <v>0</v>
      </c>
    </row>
    <row r="26" spans="2:6" ht="7.5" customHeight="1">
      <c r="B26" s="307"/>
      <c r="D26" s="352"/>
      <c r="F26" s="332"/>
    </row>
    <row r="27" spans="2:6" ht="15.75">
      <c r="B27" s="306" t="s">
        <v>259</v>
      </c>
      <c r="D27" s="344">
        <f>DCF!B39</f>
        <v>0</v>
      </c>
      <c r="F27" s="350">
        <f>DCF!C39</f>
        <v>0</v>
      </c>
    </row>
    <row r="28" spans="2:6" ht="7.5" customHeight="1">
      <c r="B28" s="307"/>
      <c r="D28" s="352"/>
      <c r="F28" s="332"/>
    </row>
    <row r="29" spans="2:6" ht="15.75">
      <c r="B29" s="306" t="str">
        <f>DCF!A40</f>
        <v>Operating</v>
      </c>
      <c r="D29" s="344">
        <f>DCF!B40</f>
        <v>0</v>
      </c>
      <c r="F29" s="350">
        <f>DCF!C40</f>
        <v>0</v>
      </c>
    </row>
    <row r="30" spans="2:6" ht="7.5" customHeight="1">
      <c r="B30" s="307"/>
      <c r="D30" s="352"/>
      <c r="F30" s="332"/>
    </row>
    <row r="31" spans="2:6" ht="15.75">
      <c r="B31" s="306" t="str">
        <f>DCF!A41</f>
        <v>Capital</v>
      </c>
      <c r="D31" s="344">
        <f>DCF!B41</f>
        <v>0</v>
      </c>
      <c r="F31" s="350">
        <f>DCF!C41</f>
        <v>0</v>
      </c>
    </row>
    <row r="33" ht="18.75">
      <c r="A33" s="212" t="s">
        <v>312</v>
      </c>
    </row>
    <row r="35" spans="3:7" ht="15.75">
      <c r="C35" s="392" t="s">
        <v>313</v>
      </c>
      <c r="D35" s="392" t="s">
        <v>314</v>
      </c>
      <c r="E35" s="392" t="s">
        <v>315</v>
      </c>
      <c r="F35" s="392" t="s">
        <v>316</v>
      </c>
      <c r="G35" s="392" t="s">
        <v>317</v>
      </c>
    </row>
    <row r="36" spans="2:7" ht="15.75">
      <c r="B36" s="210" t="s">
        <v>130</v>
      </c>
      <c r="C36" s="403">
        <f>D6</f>
        <v>0</v>
      </c>
      <c r="D36" s="393"/>
      <c r="E36" s="393"/>
      <c r="F36" s="393"/>
      <c r="G36" s="394"/>
    </row>
    <row r="37" spans="2:7" ht="15.75">
      <c r="B37" s="210" t="s">
        <v>132</v>
      </c>
      <c r="C37" s="404">
        <f>D8</f>
        <v>0</v>
      </c>
      <c r="D37" s="395"/>
      <c r="E37" s="395"/>
      <c r="F37" s="395"/>
      <c r="G37" s="396"/>
    </row>
    <row r="38" spans="2:7" ht="15.75">
      <c r="B38" s="210" t="s">
        <v>134</v>
      </c>
      <c r="C38" s="404">
        <f>D10</f>
        <v>0</v>
      </c>
      <c r="D38" s="395"/>
      <c r="E38" s="395"/>
      <c r="F38" s="395"/>
      <c r="G38" s="396"/>
    </row>
    <row r="39" spans="2:7" ht="15.75">
      <c r="B39" s="210" t="s">
        <v>136</v>
      </c>
      <c r="C39" s="405">
        <f>D12</f>
        <v>0</v>
      </c>
      <c r="D39" s="397"/>
      <c r="E39" s="397"/>
      <c r="F39" s="397"/>
      <c r="G39" s="398"/>
    </row>
    <row r="40" spans="2:7" ht="15.75">
      <c r="B40" s="210" t="s">
        <v>251</v>
      </c>
      <c r="C40" s="405">
        <f>D14</f>
        <v>0</v>
      </c>
      <c r="D40" s="397"/>
      <c r="E40" s="397"/>
      <c r="F40" s="397"/>
      <c r="G40" s="398"/>
    </row>
    <row r="41" spans="2:7" ht="15.75">
      <c r="B41" s="210" t="s">
        <v>131</v>
      </c>
      <c r="C41" s="404">
        <f>I6</f>
        <v>0</v>
      </c>
      <c r="D41" s="395"/>
      <c r="E41" s="395"/>
      <c r="F41" s="395"/>
      <c r="G41" s="396"/>
    </row>
    <row r="42" spans="2:7" ht="15.75">
      <c r="B42" s="210" t="s">
        <v>133</v>
      </c>
      <c r="C42" s="404">
        <f>I8</f>
        <v>0</v>
      </c>
      <c r="D42" s="395"/>
      <c r="E42" s="395"/>
      <c r="F42" s="395"/>
      <c r="G42" s="396"/>
    </row>
    <row r="43" spans="2:7" ht="15.75">
      <c r="B43" s="210" t="s">
        <v>135</v>
      </c>
      <c r="C43" s="406" t="e">
        <f>I10</f>
        <v>#NUM!</v>
      </c>
      <c r="D43" s="399"/>
      <c r="E43" s="399"/>
      <c r="F43" s="399"/>
      <c r="G43" s="400"/>
    </row>
    <row r="44" spans="2:7" ht="15.75">
      <c r="B44" s="210" t="s">
        <v>137</v>
      </c>
      <c r="C44" s="407">
        <f>I12</f>
        <v>0</v>
      </c>
      <c r="D44" s="401"/>
      <c r="E44" s="401"/>
      <c r="F44" s="401"/>
      <c r="G44" s="402"/>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5.xml><?xml version="1.0" encoding="utf-8"?>
<worksheet xmlns="http://schemas.openxmlformats.org/spreadsheetml/2006/main" xmlns:r="http://schemas.openxmlformats.org/officeDocument/2006/relationships">
  <sheetPr codeName="Sheet21">
    <pageSetUpPr fitToPage="1"/>
  </sheetPr>
  <dimension ref="A1:A1"/>
  <sheetViews>
    <sheetView showGridLines="0" showRowColHeaders="0" zoomScale="75" zoomScaleNormal="75" zoomScalePageLayoutView="0" workbookViewId="0" topLeftCell="A1">
      <selection activeCell="G55" sqref="G55"/>
    </sheetView>
  </sheetViews>
  <sheetFormatPr defaultColWidth="9.140625" defaultRowHeight="12.75"/>
  <cols>
    <col min="1" max="16384" width="9.140625" style="234" customWidth="1"/>
  </cols>
  <sheetData/>
  <sheetProtection password="8D83" sheet="1" objects="1" scenarios="1"/>
  <printOptions/>
  <pageMargins left="0.75" right="0.75" top="1" bottom="1" header="0.5" footer="0.5"/>
  <pageSetup fitToHeight="1" fitToWidth="1" horizontalDpi="300" verticalDpi="300" orientation="landscape" paperSize="9" scale="72" r:id="rId2"/>
  <drawing r:id="rId1"/>
</worksheet>
</file>

<file path=xl/worksheets/sheet16.xml><?xml version="1.0" encoding="utf-8"?>
<worksheet xmlns="http://schemas.openxmlformats.org/spreadsheetml/2006/main" xmlns:r="http://schemas.openxmlformats.org/officeDocument/2006/relationships">
  <sheetPr codeName="Sheet23"/>
  <dimension ref="A1:K30"/>
  <sheetViews>
    <sheetView showGridLines="0" showRowColHeaders="0" zoomScale="75" zoomScaleNormal="75" zoomScalePageLayoutView="0" workbookViewId="0" topLeftCell="A1">
      <selection activeCell="A1" sqref="A1"/>
    </sheetView>
  </sheetViews>
  <sheetFormatPr defaultColWidth="9.140625" defaultRowHeight="12.75"/>
  <cols>
    <col min="1" max="1" width="4.57421875" style="309" customWidth="1"/>
    <col min="2" max="2" width="12.8515625" style="309" customWidth="1"/>
    <col min="3" max="3" width="17.57421875" style="309" customWidth="1"/>
    <col min="4" max="4" width="24.8515625" style="309" customWidth="1"/>
    <col min="5" max="5" width="22.421875" style="309" customWidth="1"/>
    <col min="6" max="6" width="6.7109375" style="309" customWidth="1"/>
    <col min="7" max="7" width="28.421875" style="309" customWidth="1"/>
    <col min="8" max="8" width="18.7109375" style="309" customWidth="1"/>
    <col min="9" max="9" width="5.57421875" style="309" customWidth="1"/>
    <col min="10" max="10" width="18.7109375" style="309" customWidth="1"/>
    <col min="11" max="16384" width="9.140625" style="309" customWidth="1"/>
  </cols>
  <sheetData>
    <row r="1" spans="1:2" ht="26.25">
      <c r="A1" s="238" t="s">
        <v>168</v>
      </c>
      <c r="B1" s="238"/>
    </row>
    <row r="5" spans="1:5" ht="18.75">
      <c r="A5" s="310" t="s">
        <v>113</v>
      </c>
      <c r="B5" s="310"/>
      <c r="D5" s="311" t="s">
        <v>252</v>
      </c>
      <c r="E5" s="311" t="s">
        <v>169</v>
      </c>
    </row>
    <row r="6" spans="3:5" ht="15.75">
      <c r="C6" s="240" t="s">
        <v>170</v>
      </c>
      <c r="D6" s="111">
        <v>0</v>
      </c>
      <c r="E6" s="320">
        <v>0</v>
      </c>
    </row>
    <row r="7" spans="3:11" ht="15.75">
      <c r="C7" s="240" t="s">
        <v>171</v>
      </c>
      <c r="D7" s="321">
        <v>0</v>
      </c>
      <c r="E7" s="322">
        <v>0.05</v>
      </c>
      <c r="F7" s="312">
        <f>E7</f>
        <v>0.05</v>
      </c>
      <c r="G7" s="309" t="s">
        <v>172</v>
      </c>
      <c r="H7" s="313">
        <f>D6</f>
        <v>0</v>
      </c>
      <c r="I7" s="309" t="s">
        <v>173</v>
      </c>
      <c r="J7" s="314">
        <f>D7</f>
        <v>0</v>
      </c>
      <c r="K7" s="309" t="s">
        <v>208</v>
      </c>
    </row>
    <row r="8" spans="3:11" ht="15.75">
      <c r="C8" s="240" t="s">
        <v>163</v>
      </c>
      <c r="D8" s="321">
        <v>0</v>
      </c>
      <c r="E8" s="322">
        <v>0.2</v>
      </c>
      <c r="F8" s="312">
        <f>E8-E7</f>
        <v>0.15000000000000002</v>
      </c>
      <c r="G8" s="309" t="s">
        <v>172</v>
      </c>
      <c r="H8" s="313">
        <f>D7</f>
        <v>0</v>
      </c>
      <c r="I8" s="309" t="s">
        <v>173</v>
      </c>
      <c r="J8" s="314">
        <f>D8</f>
        <v>0</v>
      </c>
      <c r="K8" s="309" t="s">
        <v>208</v>
      </c>
    </row>
    <row r="9" spans="3:11" ht="15.75">
      <c r="C9" s="240" t="s">
        <v>174</v>
      </c>
      <c r="D9" s="321">
        <v>0</v>
      </c>
      <c r="E9" s="322">
        <v>0.8</v>
      </c>
      <c r="F9" s="312">
        <f>E9-E8</f>
        <v>0.6000000000000001</v>
      </c>
      <c r="G9" s="309" t="s">
        <v>172</v>
      </c>
      <c r="H9" s="313">
        <f>D8</f>
        <v>0</v>
      </c>
      <c r="I9" s="309" t="s">
        <v>173</v>
      </c>
      <c r="J9" s="314">
        <f>D9</f>
        <v>0</v>
      </c>
      <c r="K9" s="309" t="s">
        <v>208</v>
      </c>
    </row>
    <row r="10" spans="3:11" ht="15.75">
      <c r="C10" s="240" t="s">
        <v>175</v>
      </c>
      <c r="D10" s="111">
        <f>Summary!D6</f>
        <v>0</v>
      </c>
      <c r="E10" s="320">
        <v>1</v>
      </c>
      <c r="F10" s="312">
        <f>E10-E9</f>
        <v>0.19999999999999996</v>
      </c>
      <c r="G10" s="309" t="s">
        <v>172</v>
      </c>
      <c r="H10" s="313">
        <f>D9</f>
        <v>0</v>
      </c>
      <c r="I10" s="309" t="s">
        <v>173</v>
      </c>
      <c r="J10" s="314">
        <f>D10</f>
        <v>0</v>
      </c>
      <c r="K10" s="309" t="s">
        <v>208</v>
      </c>
    </row>
    <row r="11" ht="15.75">
      <c r="C11" s="240"/>
    </row>
    <row r="12" spans="1:5" ht="18.75">
      <c r="A12" s="310" t="s">
        <v>176</v>
      </c>
      <c r="B12" s="310"/>
      <c r="C12" s="240"/>
      <c r="D12" s="311" t="s">
        <v>177</v>
      </c>
      <c r="E12" s="311" t="s">
        <v>169</v>
      </c>
    </row>
    <row r="13" spans="3:5" ht="15.75">
      <c r="C13" s="240" t="s">
        <v>170</v>
      </c>
      <c r="D13" s="356">
        <v>0</v>
      </c>
      <c r="E13" s="320">
        <v>0</v>
      </c>
    </row>
    <row r="14" spans="3:11" ht="15.75">
      <c r="C14" s="240" t="s">
        <v>171</v>
      </c>
      <c r="D14" s="356">
        <v>0</v>
      </c>
      <c r="E14" s="322">
        <v>0.1</v>
      </c>
      <c r="F14" s="312">
        <f>E14</f>
        <v>0.1</v>
      </c>
      <c r="G14" s="309" t="s">
        <v>172</v>
      </c>
      <c r="H14" s="358">
        <f>D13</f>
        <v>0</v>
      </c>
      <c r="I14" s="333" t="s">
        <v>173</v>
      </c>
      <c r="J14" s="358">
        <f>D14</f>
        <v>0</v>
      </c>
      <c r="K14" s="309" t="s">
        <v>178</v>
      </c>
    </row>
    <row r="15" spans="3:11" ht="15.75">
      <c r="C15" s="240" t="s">
        <v>163</v>
      </c>
      <c r="D15" s="357">
        <f>Summary!D14</f>
        <v>0</v>
      </c>
      <c r="E15" s="322">
        <v>0.4</v>
      </c>
      <c r="F15" s="312">
        <f>E15-E14</f>
        <v>0.30000000000000004</v>
      </c>
      <c r="G15" s="309" t="s">
        <v>172</v>
      </c>
      <c r="H15" s="358">
        <f>D14</f>
        <v>0</v>
      </c>
      <c r="I15" s="333" t="s">
        <v>173</v>
      </c>
      <c r="J15" s="358">
        <f>D15</f>
        <v>0</v>
      </c>
      <c r="K15" s="309" t="s">
        <v>178</v>
      </c>
    </row>
    <row r="16" spans="3:11" ht="15.75">
      <c r="C16" s="240" t="s">
        <v>174</v>
      </c>
      <c r="D16" s="356">
        <v>0</v>
      </c>
      <c r="E16" s="322">
        <v>0.7</v>
      </c>
      <c r="F16" s="312">
        <f>E16-E15</f>
        <v>0.29999999999999993</v>
      </c>
      <c r="G16" s="309" t="s">
        <v>172</v>
      </c>
      <c r="H16" s="358">
        <f>D15</f>
        <v>0</v>
      </c>
      <c r="I16" s="333" t="s">
        <v>173</v>
      </c>
      <c r="J16" s="358">
        <f>D16</f>
        <v>0</v>
      </c>
      <c r="K16" s="309" t="s">
        <v>178</v>
      </c>
    </row>
    <row r="17" spans="3:11" ht="15.75">
      <c r="C17" s="240" t="s">
        <v>175</v>
      </c>
      <c r="D17" s="356">
        <v>0</v>
      </c>
      <c r="E17" s="320">
        <v>1</v>
      </c>
      <c r="F17" s="312">
        <f>E17-E16</f>
        <v>0.30000000000000004</v>
      </c>
      <c r="G17" s="309" t="s">
        <v>172</v>
      </c>
      <c r="H17" s="358">
        <f>D16</f>
        <v>0</v>
      </c>
      <c r="I17" s="333" t="s">
        <v>173</v>
      </c>
      <c r="J17" s="358">
        <f>D17</f>
        <v>0</v>
      </c>
      <c r="K17" s="309" t="s">
        <v>178</v>
      </c>
    </row>
    <row r="19" spans="1:5" ht="18.75">
      <c r="A19" s="310" t="s">
        <v>179</v>
      </c>
      <c r="B19" s="310"/>
      <c r="E19" s="315"/>
    </row>
    <row r="20" spans="1:8" ht="15.75">
      <c r="A20" s="316" t="s">
        <v>180</v>
      </c>
      <c r="E20" s="317"/>
      <c r="G20" s="318"/>
      <c r="H20" s="318"/>
    </row>
    <row r="21" ht="15">
      <c r="E21" s="338"/>
    </row>
    <row r="22" spans="1:7" ht="15.75">
      <c r="A22" s="240" t="s">
        <v>181</v>
      </c>
      <c r="D22" s="348">
        <f>Simulation!B6</f>
        <v>0</v>
      </c>
      <c r="E22" s="335">
        <f>'Production Risk'!U26</f>
        <v>0</v>
      </c>
      <c r="G22" s="347"/>
    </row>
    <row r="23" spans="1:7" ht="7.5" customHeight="1">
      <c r="A23" s="240"/>
      <c r="D23" s="334"/>
      <c r="E23" s="336"/>
      <c r="G23" s="355"/>
    </row>
    <row r="24" spans="1:7" ht="15.75">
      <c r="A24" s="240" t="s">
        <v>182</v>
      </c>
      <c r="D24" s="348">
        <f>Simulation!B5</f>
        <v>0</v>
      </c>
      <c r="E24" s="337">
        <f>'Price Risk'!U26</f>
        <v>0</v>
      </c>
      <c r="G24" s="347"/>
    </row>
    <row r="25" spans="1:7" ht="7.5" customHeight="1">
      <c r="A25" s="240"/>
      <c r="D25" s="334"/>
      <c r="E25" s="336"/>
      <c r="G25" s="355"/>
    </row>
    <row r="26" spans="1:7" ht="15.75">
      <c r="A26" s="240" t="s">
        <v>183</v>
      </c>
      <c r="D26" s="348">
        <f>Simulation!B4</f>
        <v>0</v>
      </c>
      <c r="E26" s="337">
        <f>E22*E24</f>
        <v>0</v>
      </c>
      <c r="G26" s="347"/>
    </row>
    <row r="27" spans="2:5" ht="7.5" customHeight="1">
      <c r="B27" s="240"/>
      <c r="E27" s="336"/>
    </row>
    <row r="28" spans="1:5" ht="15.75">
      <c r="A28" s="319"/>
      <c r="B28" s="240"/>
      <c r="E28" s="337">
        <f>Summary!D10</f>
        <v>0</v>
      </c>
    </row>
    <row r="29" spans="2:5" ht="7.5" customHeight="1">
      <c r="B29" s="240"/>
      <c r="E29" s="336"/>
    </row>
    <row r="30" spans="2:5" ht="15.75">
      <c r="B30" s="240"/>
      <c r="E30" s="337">
        <f>E26-E28</f>
        <v>0</v>
      </c>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7.xml><?xml version="1.0" encoding="utf-8"?>
<worksheet xmlns="http://schemas.openxmlformats.org/spreadsheetml/2006/main" xmlns:r="http://schemas.openxmlformats.org/officeDocument/2006/relationships">
  <sheetPr codeName="Sheet24"/>
  <dimension ref="A1:U26"/>
  <sheetViews>
    <sheetView showGridLines="0" zoomScale="75" zoomScaleNormal="75" zoomScalePageLayoutView="0" workbookViewId="0" topLeftCell="A1">
      <selection activeCell="AA8" sqref="AA8"/>
    </sheetView>
  </sheetViews>
  <sheetFormatPr defaultColWidth="9.140625" defaultRowHeight="12.75"/>
  <cols>
    <col min="1" max="1" width="9.7109375" style="78" bestFit="1" customWidth="1"/>
    <col min="2" max="2" width="12.00390625" style="78" customWidth="1"/>
    <col min="3" max="6" width="10.57421875" style="78" customWidth="1"/>
    <col min="7" max="7" width="11.7109375" style="78" bestFit="1" customWidth="1"/>
    <col min="8" max="10" width="9.57421875" style="78" customWidth="1"/>
    <col min="11" max="11" width="11.7109375" style="78" bestFit="1" customWidth="1"/>
    <col min="12" max="12" width="11.7109375" style="78" hidden="1" customWidth="1"/>
    <col min="13" max="13" width="10.57421875" style="78" hidden="1" customWidth="1"/>
    <col min="14" max="14" width="8.8515625" style="78" hidden="1" customWidth="1"/>
    <col min="15" max="15" width="9.57421875" style="78" hidden="1" customWidth="1"/>
    <col min="16" max="18" width="10.8515625" style="78" hidden="1" customWidth="1"/>
    <col min="19" max="19" width="13.57421875" style="78" hidden="1" customWidth="1"/>
    <col min="20" max="20" width="10.8515625" style="78" hidden="1" customWidth="1"/>
    <col min="21" max="22" width="18.7109375" style="78" bestFit="1" customWidth="1"/>
    <col min="23" max="16384" width="9.140625" style="78" customWidth="1"/>
  </cols>
  <sheetData>
    <row r="1" ht="26.25">
      <c r="A1" s="48" t="s">
        <v>185</v>
      </c>
    </row>
    <row r="2" ht="15.75" thickBot="1"/>
    <row r="3" spans="2:11" ht="16.5" thickBot="1">
      <c r="B3" s="79" t="s">
        <v>186</v>
      </c>
      <c r="C3" s="80"/>
      <c r="D3" s="80"/>
      <c r="E3" s="80"/>
      <c r="F3" s="81"/>
      <c r="G3" s="82"/>
      <c r="H3" s="83"/>
      <c r="I3" s="83" t="s">
        <v>169</v>
      </c>
      <c r="J3" s="83"/>
      <c r="K3" s="84"/>
    </row>
    <row r="4" spans="1:21" ht="16.5" thickBot="1">
      <c r="A4" s="85" t="s">
        <v>184</v>
      </c>
      <c r="B4" s="86" t="s">
        <v>187</v>
      </c>
      <c r="C4" s="87" t="s">
        <v>171</v>
      </c>
      <c r="D4" s="87" t="s">
        <v>188</v>
      </c>
      <c r="E4" s="87" t="s">
        <v>174</v>
      </c>
      <c r="F4" s="88" t="s">
        <v>175</v>
      </c>
      <c r="G4" s="89" t="s">
        <v>187</v>
      </c>
      <c r="H4" s="90" t="s">
        <v>171</v>
      </c>
      <c r="I4" s="90" t="s">
        <v>188</v>
      </c>
      <c r="J4" s="90" t="s">
        <v>174</v>
      </c>
      <c r="K4" s="91" t="s">
        <v>175</v>
      </c>
      <c r="L4" s="92" t="s">
        <v>189</v>
      </c>
      <c r="M4" s="85" t="s">
        <v>190</v>
      </c>
      <c r="N4" s="85" t="s">
        <v>191</v>
      </c>
      <c r="O4" s="93" t="s">
        <v>192</v>
      </c>
      <c r="P4" s="93" t="s">
        <v>193</v>
      </c>
      <c r="Q4" s="93" t="s">
        <v>194</v>
      </c>
      <c r="R4" s="93" t="s">
        <v>195</v>
      </c>
      <c r="S4" s="94" t="s">
        <v>113</v>
      </c>
      <c r="T4" s="85" t="s">
        <v>196</v>
      </c>
      <c r="U4" s="95" t="s">
        <v>197</v>
      </c>
    </row>
    <row r="5" spans="1:21" ht="15.75">
      <c r="A5" s="96">
        <v>1</v>
      </c>
      <c r="B5" s="97">
        <f>'Risk Analysis'!D6</f>
        <v>0</v>
      </c>
      <c r="C5" s="98">
        <f>'Risk Analysis'!$D$7</f>
        <v>0</v>
      </c>
      <c r="D5" s="98">
        <f>'Risk Analysis'!$D$8</f>
        <v>0</v>
      </c>
      <c r="E5" s="98">
        <f>'Risk Analysis'!$D$9</f>
        <v>0</v>
      </c>
      <c r="F5" s="99">
        <f>'Risk Analysis'!$D$10</f>
        <v>0</v>
      </c>
      <c r="G5" s="100">
        <f>'Risk Analysis'!E6</f>
        <v>0</v>
      </c>
      <c r="H5" s="101">
        <f>'Risk Analysis'!E7</f>
        <v>0.05</v>
      </c>
      <c r="I5" s="101">
        <f>'Risk Analysis'!E8</f>
        <v>0.2</v>
      </c>
      <c r="J5" s="101">
        <f>'Risk Analysis'!E9</f>
        <v>0.8</v>
      </c>
      <c r="K5" s="102">
        <f>'Risk Analysis'!E10</f>
        <v>1</v>
      </c>
      <c r="L5" s="103">
        <f aca="true" ca="1" t="shared" si="0" ref="L5:L24">RAND()</f>
        <v>0.4416116630099798</v>
      </c>
      <c r="M5" s="104">
        <f aca="true" t="shared" si="1" ref="M5:M24">L5-HLOOKUP(L5,G5:K5,1)</f>
        <v>0.24161166300997977</v>
      </c>
      <c r="N5" s="105">
        <f aca="true" t="shared" si="2" ref="N5:N24">MATCH(L5,G5:K5)</f>
        <v>3</v>
      </c>
      <c r="O5" s="106">
        <f aca="true" t="shared" si="3" ref="O5:O24">(C5-B5)/(H5-G5)</f>
        <v>0</v>
      </c>
      <c r="P5" s="106">
        <f aca="true" t="shared" si="4" ref="P5:P24">(D5-C5)/(I5-H5)</f>
        <v>0</v>
      </c>
      <c r="Q5" s="106">
        <f aca="true" t="shared" si="5" ref="Q5:Q24">(E5-D5)/(J5-I5)</f>
        <v>0</v>
      </c>
      <c r="R5" s="106">
        <f aca="true" t="shared" si="6" ref="R5:R24">(F5-E5)/(K5-J5)</f>
        <v>0</v>
      </c>
      <c r="S5" s="107">
        <f aca="true" t="shared" si="7" ref="S5:S24">IF(N5=1,B5,IF(N5=2,C5,IF(N5=3,D5,IF(N5=4,E5,0))))</f>
        <v>0</v>
      </c>
      <c r="T5" s="107">
        <f aca="true" t="shared" si="8" ref="T5:T24">IF(N5=1,O5,IF(N5=2,P5,IF(N5=3,Q5,IF(N5=4,R5,0))))</f>
        <v>0</v>
      </c>
      <c r="U5" s="108">
        <f aca="true" t="shared" si="9" ref="U5:U24">S5+(T5*M5)</f>
        <v>0</v>
      </c>
    </row>
    <row r="6" spans="1:21" ht="15.75">
      <c r="A6" s="109">
        <v>2</v>
      </c>
      <c r="B6" s="110">
        <f aca="true" t="shared" si="10" ref="B6:B24">B5</f>
        <v>0</v>
      </c>
      <c r="C6" s="111">
        <f aca="true" t="shared" si="11" ref="C6:C24">C5</f>
        <v>0</v>
      </c>
      <c r="D6" s="111">
        <f aca="true" t="shared" si="12" ref="D6:D24">D5</f>
        <v>0</v>
      </c>
      <c r="E6" s="111">
        <f aca="true" t="shared" si="13" ref="E6:E24">E5</f>
        <v>0</v>
      </c>
      <c r="F6" s="112">
        <f aca="true" t="shared" si="14" ref="F6:F24">F5</f>
        <v>0</v>
      </c>
      <c r="G6" s="113">
        <f aca="true" t="shared" si="15" ref="G6:G24">G5</f>
        <v>0</v>
      </c>
      <c r="H6" s="114">
        <f aca="true" t="shared" si="16" ref="H6:H24">H5</f>
        <v>0.05</v>
      </c>
      <c r="I6" s="114">
        <f aca="true" t="shared" si="17" ref="I6:I24">I5</f>
        <v>0.2</v>
      </c>
      <c r="J6" s="114">
        <f aca="true" t="shared" si="18" ref="J6:J24">J5</f>
        <v>0.8</v>
      </c>
      <c r="K6" s="115">
        <f aca="true" t="shared" si="19" ref="K6:K24">K5</f>
        <v>1</v>
      </c>
      <c r="L6" s="116">
        <f ca="1" t="shared" si="0"/>
        <v>0.078597731766338</v>
      </c>
      <c r="M6" s="117">
        <f t="shared" si="1"/>
        <v>0.028597731766337994</v>
      </c>
      <c r="N6" s="105">
        <f t="shared" si="2"/>
        <v>2</v>
      </c>
      <c r="O6" s="118">
        <f t="shared" si="3"/>
        <v>0</v>
      </c>
      <c r="P6" s="118">
        <f t="shared" si="4"/>
        <v>0</v>
      </c>
      <c r="Q6" s="118">
        <f t="shared" si="5"/>
        <v>0</v>
      </c>
      <c r="R6" s="118">
        <f t="shared" si="6"/>
        <v>0</v>
      </c>
      <c r="S6" s="119">
        <f t="shared" si="7"/>
        <v>0</v>
      </c>
      <c r="T6" s="120">
        <f t="shared" si="8"/>
        <v>0</v>
      </c>
      <c r="U6" s="121">
        <f t="shared" si="9"/>
        <v>0</v>
      </c>
    </row>
    <row r="7" spans="1:21" ht="15.75">
      <c r="A7" s="109">
        <v>3</v>
      </c>
      <c r="B7" s="110">
        <f t="shared" si="10"/>
        <v>0</v>
      </c>
      <c r="C7" s="111">
        <f t="shared" si="11"/>
        <v>0</v>
      </c>
      <c r="D7" s="111">
        <f t="shared" si="12"/>
        <v>0</v>
      </c>
      <c r="E7" s="111">
        <f t="shared" si="13"/>
        <v>0</v>
      </c>
      <c r="F7" s="112">
        <f t="shared" si="14"/>
        <v>0</v>
      </c>
      <c r="G7" s="113">
        <f t="shared" si="15"/>
        <v>0</v>
      </c>
      <c r="H7" s="114">
        <f t="shared" si="16"/>
        <v>0.05</v>
      </c>
      <c r="I7" s="114">
        <f t="shared" si="17"/>
        <v>0.2</v>
      </c>
      <c r="J7" s="114">
        <f t="shared" si="18"/>
        <v>0.8</v>
      </c>
      <c r="K7" s="115">
        <f t="shared" si="19"/>
        <v>1</v>
      </c>
      <c r="L7" s="116">
        <f ca="1" t="shared" si="0"/>
        <v>0.9908889088660404</v>
      </c>
      <c r="M7" s="117">
        <f t="shared" si="1"/>
        <v>0.19088890886604037</v>
      </c>
      <c r="N7" s="105">
        <f t="shared" si="2"/>
        <v>4</v>
      </c>
      <c r="O7" s="118">
        <f t="shared" si="3"/>
        <v>0</v>
      </c>
      <c r="P7" s="118">
        <f t="shared" si="4"/>
        <v>0</v>
      </c>
      <c r="Q7" s="118">
        <f t="shared" si="5"/>
        <v>0</v>
      </c>
      <c r="R7" s="118">
        <f t="shared" si="6"/>
        <v>0</v>
      </c>
      <c r="S7" s="119">
        <f t="shared" si="7"/>
        <v>0</v>
      </c>
      <c r="T7" s="120">
        <f t="shared" si="8"/>
        <v>0</v>
      </c>
      <c r="U7" s="121">
        <f t="shared" si="9"/>
        <v>0</v>
      </c>
    </row>
    <row r="8" spans="1:21" ht="15.75">
      <c r="A8" s="109">
        <v>4</v>
      </c>
      <c r="B8" s="110">
        <f t="shared" si="10"/>
        <v>0</v>
      </c>
      <c r="C8" s="111">
        <f t="shared" si="11"/>
        <v>0</v>
      </c>
      <c r="D8" s="111">
        <f t="shared" si="12"/>
        <v>0</v>
      </c>
      <c r="E8" s="111">
        <f t="shared" si="13"/>
        <v>0</v>
      </c>
      <c r="F8" s="112">
        <f t="shared" si="14"/>
        <v>0</v>
      </c>
      <c r="G8" s="113">
        <f t="shared" si="15"/>
        <v>0</v>
      </c>
      <c r="H8" s="114">
        <f t="shared" si="16"/>
        <v>0.05</v>
      </c>
      <c r="I8" s="114">
        <f t="shared" si="17"/>
        <v>0.2</v>
      </c>
      <c r="J8" s="114">
        <f t="shared" si="18"/>
        <v>0.8</v>
      </c>
      <c r="K8" s="115">
        <f t="shared" si="19"/>
        <v>1</v>
      </c>
      <c r="L8" s="116">
        <f ca="1" t="shared" si="0"/>
        <v>0.896125101533892</v>
      </c>
      <c r="M8" s="117">
        <f t="shared" si="1"/>
        <v>0.09612510153389198</v>
      </c>
      <c r="N8" s="105">
        <f t="shared" si="2"/>
        <v>4</v>
      </c>
      <c r="O8" s="118">
        <f t="shared" si="3"/>
        <v>0</v>
      </c>
      <c r="P8" s="118">
        <f t="shared" si="4"/>
        <v>0</v>
      </c>
      <c r="Q8" s="118">
        <f t="shared" si="5"/>
        <v>0</v>
      </c>
      <c r="R8" s="118">
        <f t="shared" si="6"/>
        <v>0</v>
      </c>
      <c r="S8" s="119">
        <f t="shared" si="7"/>
        <v>0</v>
      </c>
      <c r="T8" s="120">
        <f t="shared" si="8"/>
        <v>0</v>
      </c>
      <c r="U8" s="121">
        <f t="shared" si="9"/>
        <v>0</v>
      </c>
    </row>
    <row r="9" spans="1:21" ht="15.75">
      <c r="A9" s="109">
        <v>5</v>
      </c>
      <c r="B9" s="110">
        <f t="shared" si="10"/>
        <v>0</v>
      </c>
      <c r="C9" s="111">
        <f t="shared" si="11"/>
        <v>0</v>
      </c>
      <c r="D9" s="111">
        <f t="shared" si="12"/>
        <v>0</v>
      </c>
      <c r="E9" s="111">
        <f t="shared" si="13"/>
        <v>0</v>
      </c>
      <c r="F9" s="112">
        <f t="shared" si="14"/>
        <v>0</v>
      </c>
      <c r="G9" s="113">
        <f t="shared" si="15"/>
        <v>0</v>
      </c>
      <c r="H9" s="114">
        <f t="shared" si="16"/>
        <v>0.05</v>
      </c>
      <c r="I9" s="114">
        <f t="shared" si="17"/>
        <v>0.2</v>
      </c>
      <c r="J9" s="114">
        <f t="shared" si="18"/>
        <v>0.8</v>
      </c>
      <c r="K9" s="115">
        <f t="shared" si="19"/>
        <v>1</v>
      </c>
      <c r="L9" s="116">
        <f ca="1" t="shared" si="0"/>
        <v>0.09705979915731167</v>
      </c>
      <c r="M9" s="117">
        <f t="shared" si="1"/>
        <v>0.04705979915731166</v>
      </c>
      <c r="N9" s="105">
        <f t="shared" si="2"/>
        <v>2</v>
      </c>
      <c r="O9" s="118">
        <f t="shared" si="3"/>
        <v>0</v>
      </c>
      <c r="P9" s="118">
        <f t="shared" si="4"/>
        <v>0</v>
      </c>
      <c r="Q9" s="118">
        <f t="shared" si="5"/>
        <v>0</v>
      </c>
      <c r="R9" s="118">
        <f t="shared" si="6"/>
        <v>0</v>
      </c>
      <c r="S9" s="119">
        <f t="shared" si="7"/>
        <v>0</v>
      </c>
      <c r="T9" s="120">
        <f t="shared" si="8"/>
        <v>0</v>
      </c>
      <c r="U9" s="121">
        <f t="shared" si="9"/>
        <v>0</v>
      </c>
    </row>
    <row r="10" spans="1:21" ht="15.75">
      <c r="A10" s="109">
        <v>6</v>
      </c>
      <c r="B10" s="110">
        <f t="shared" si="10"/>
        <v>0</v>
      </c>
      <c r="C10" s="111">
        <f t="shared" si="11"/>
        <v>0</v>
      </c>
      <c r="D10" s="111">
        <f t="shared" si="12"/>
        <v>0</v>
      </c>
      <c r="E10" s="111">
        <f t="shared" si="13"/>
        <v>0</v>
      </c>
      <c r="F10" s="112">
        <f t="shared" si="14"/>
        <v>0</v>
      </c>
      <c r="G10" s="113">
        <f t="shared" si="15"/>
        <v>0</v>
      </c>
      <c r="H10" s="114">
        <f t="shared" si="16"/>
        <v>0.05</v>
      </c>
      <c r="I10" s="114">
        <f t="shared" si="17"/>
        <v>0.2</v>
      </c>
      <c r="J10" s="114">
        <f t="shared" si="18"/>
        <v>0.8</v>
      </c>
      <c r="K10" s="115">
        <f t="shared" si="19"/>
        <v>1</v>
      </c>
      <c r="L10" s="116">
        <f ca="1" t="shared" si="0"/>
        <v>0.8234896040686936</v>
      </c>
      <c r="M10" s="117">
        <f t="shared" si="1"/>
        <v>0.023489604068693604</v>
      </c>
      <c r="N10" s="105">
        <f t="shared" si="2"/>
        <v>4</v>
      </c>
      <c r="O10" s="118">
        <f t="shared" si="3"/>
        <v>0</v>
      </c>
      <c r="P10" s="118">
        <f t="shared" si="4"/>
        <v>0</v>
      </c>
      <c r="Q10" s="118">
        <f t="shared" si="5"/>
        <v>0</v>
      </c>
      <c r="R10" s="118">
        <f t="shared" si="6"/>
        <v>0</v>
      </c>
      <c r="S10" s="119">
        <f t="shared" si="7"/>
        <v>0</v>
      </c>
      <c r="T10" s="120">
        <f t="shared" si="8"/>
        <v>0</v>
      </c>
      <c r="U10" s="121">
        <f t="shared" si="9"/>
        <v>0</v>
      </c>
    </row>
    <row r="11" spans="1:21" ht="15.75">
      <c r="A11" s="109">
        <v>7</v>
      </c>
      <c r="B11" s="110">
        <f t="shared" si="10"/>
        <v>0</v>
      </c>
      <c r="C11" s="111">
        <f t="shared" si="11"/>
        <v>0</v>
      </c>
      <c r="D11" s="111">
        <f t="shared" si="12"/>
        <v>0</v>
      </c>
      <c r="E11" s="111">
        <f t="shared" si="13"/>
        <v>0</v>
      </c>
      <c r="F11" s="112">
        <f t="shared" si="14"/>
        <v>0</v>
      </c>
      <c r="G11" s="113">
        <f t="shared" si="15"/>
        <v>0</v>
      </c>
      <c r="H11" s="114">
        <f t="shared" si="16"/>
        <v>0.05</v>
      </c>
      <c r="I11" s="114">
        <f t="shared" si="17"/>
        <v>0.2</v>
      </c>
      <c r="J11" s="114">
        <f t="shared" si="18"/>
        <v>0.8</v>
      </c>
      <c r="K11" s="115">
        <f t="shared" si="19"/>
        <v>1</v>
      </c>
      <c r="L11" s="116">
        <f ca="1" t="shared" si="0"/>
        <v>0.03556053743822973</v>
      </c>
      <c r="M11" s="117">
        <f t="shared" si="1"/>
        <v>0.03556053743822973</v>
      </c>
      <c r="N11" s="105">
        <f t="shared" si="2"/>
        <v>1</v>
      </c>
      <c r="O11" s="118">
        <f t="shared" si="3"/>
        <v>0</v>
      </c>
      <c r="P11" s="118">
        <f t="shared" si="4"/>
        <v>0</v>
      </c>
      <c r="Q11" s="118">
        <f t="shared" si="5"/>
        <v>0</v>
      </c>
      <c r="R11" s="118">
        <f t="shared" si="6"/>
        <v>0</v>
      </c>
      <c r="S11" s="119">
        <f t="shared" si="7"/>
        <v>0</v>
      </c>
      <c r="T11" s="120">
        <f t="shared" si="8"/>
        <v>0</v>
      </c>
      <c r="U11" s="121">
        <f t="shared" si="9"/>
        <v>0</v>
      </c>
    </row>
    <row r="12" spans="1:21" ht="15.75">
      <c r="A12" s="109">
        <v>8</v>
      </c>
      <c r="B12" s="110">
        <f t="shared" si="10"/>
        <v>0</v>
      </c>
      <c r="C12" s="111">
        <f t="shared" si="11"/>
        <v>0</v>
      </c>
      <c r="D12" s="111">
        <f t="shared" si="12"/>
        <v>0</v>
      </c>
      <c r="E12" s="111">
        <f t="shared" si="13"/>
        <v>0</v>
      </c>
      <c r="F12" s="112">
        <f t="shared" si="14"/>
        <v>0</v>
      </c>
      <c r="G12" s="113">
        <f t="shared" si="15"/>
        <v>0</v>
      </c>
      <c r="H12" s="114">
        <f t="shared" si="16"/>
        <v>0.05</v>
      </c>
      <c r="I12" s="114">
        <f t="shared" si="17"/>
        <v>0.2</v>
      </c>
      <c r="J12" s="114">
        <f t="shared" si="18"/>
        <v>0.8</v>
      </c>
      <c r="K12" s="115">
        <f t="shared" si="19"/>
        <v>1</v>
      </c>
      <c r="L12" s="116">
        <f ca="1" t="shared" si="0"/>
        <v>0.7510178765100348</v>
      </c>
      <c r="M12" s="117">
        <f t="shared" si="1"/>
        <v>0.5510178765100349</v>
      </c>
      <c r="N12" s="105">
        <f t="shared" si="2"/>
        <v>3</v>
      </c>
      <c r="O12" s="118">
        <f t="shared" si="3"/>
        <v>0</v>
      </c>
      <c r="P12" s="118">
        <f t="shared" si="4"/>
        <v>0</v>
      </c>
      <c r="Q12" s="118">
        <f t="shared" si="5"/>
        <v>0</v>
      </c>
      <c r="R12" s="118">
        <f t="shared" si="6"/>
        <v>0</v>
      </c>
      <c r="S12" s="119">
        <f t="shared" si="7"/>
        <v>0</v>
      </c>
      <c r="T12" s="120">
        <f t="shared" si="8"/>
        <v>0</v>
      </c>
      <c r="U12" s="121">
        <f t="shared" si="9"/>
        <v>0</v>
      </c>
    </row>
    <row r="13" spans="1:21" ht="15.75">
      <c r="A13" s="109">
        <v>9</v>
      </c>
      <c r="B13" s="110">
        <f t="shared" si="10"/>
        <v>0</v>
      </c>
      <c r="C13" s="111">
        <f t="shared" si="11"/>
        <v>0</v>
      </c>
      <c r="D13" s="111">
        <f t="shared" si="12"/>
        <v>0</v>
      </c>
      <c r="E13" s="111">
        <f t="shared" si="13"/>
        <v>0</v>
      </c>
      <c r="F13" s="112">
        <f t="shared" si="14"/>
        <v>0</v>
      </c>
      <c r="G13" s="113">
        <f t="shared" si="15"/>
        <v>0</v>
      </c>
      <c r="H13" s="114">
        <f t="shared" si="16"/>
        <v>0.05</v>
      </c>
      <c r="I13" s="114">
        <f t="shared" si="17"/>
        <v>0.2</v>
      </c>
      <c r="J13" s="114">
        <f t="shared" si="18"/>
        <v>0.8</v>
      </c>
      <c r="K13" s="115">
        <f t="shared" si="19"/>
        <v>1</v>
      </c>
      <c r="L13" s="116">
        <f ca="1" t="shared" si="0"/>
        <v>0.8474467056318091</v>
      </c>
      <c r="M13" s="117">
        <f t="shared" si="1"/>
        <v>0.04744670563180908</v>
      </c>
      <c r="N13" s="105">
        <f t="shared" si="2"/>
        <v>4</v>
      </c>
      <c r="O13" s="118">
        <f t="shared" si="3"/>
        <v>0</v>
      </c>
      <c r="P13" s="118">
        <f t="shared" si="4"/>
        <v>0</v>
      </c>
      <c r="Q13" s="118">
        <f t="shared" si="5"/>
        <v>0</v>
      </c>
      <c r="R13" s="118">
        <f t="shared" si="6"/>
        <v>0</v>
      </c>
      <c r="S13" s="119">
        <f t="shared" si="7"/>
        <v>0</v>
      </c>
      <c r="T13" s="120">
        <f t="shared" si="8"/>
        <v>0</v>
      </c>
      <c r="U13" s="121">
        <f t="shared" si="9"/>
        <v>0</v>
      </c>
    </row>
    <row r="14" spans="1:21" ht="15.75">
      <c r="A14" s="109">
        <v>10</v>
      </c>
      <c r="B14" s="110">
        <f t="shared" si="10"/>
        <v>0</v>
      </c>
      <c r="C14" s="111">
        <f t="shared" si="11"/>
        <v>0</v>
      </c>
      <c r="D14" s="111">
        <f t="shared" si="12"/>
        <v>0</v>
      </c>
      <c r="E14" s="111">
        <f t="shared" si="13"/>
        <v>0</v>
      </c>
      <c r="F14" s="112">
        <f t="shared" si="14"/>
        <v>0</v>
      </c>
      <c r="G14" s="113">
        <f t="shared" si="15"/>
        <v>0</v>
      </c>
      <c r="H14" s="114">
        <f t="shared" si="16"/>
        <v>0.05</v>
      </c>
      <c r="I14" s="114">
        <f t="shared" si="17"/>
        <v>0.2</v>
      </c>
      <c r="J14" s="114">
        <f t="shared" si="18"/>
        <v>0.8</v>
      </c>
      <c r="K14" s="115">
        <f t="shared" si="19"/>
        <v>1</v>
      </c>
      <c r="L14" s="116">
        <f ca="1" t="shared" si="0"/>
        <v>0.6764291936217075</v>
      </c>
      <c r="M14" s="117">
        <f t="shared" si="1"/>
        <v>0.4764291936217075</v>
      </c>
      <c r="N14" s="105">
        <f t="shared" si="2"/>
        <v>3</v>
      </c>
      <c r="O14" s="118">
        <f t="shared" si="3"/>
        <v>0</v>
      </c>
      <c r="P14" s="118">
        <f t="shared" si="4"/>
        <v>0</v>
      </c>
      <c r="Q14" s="118">
        <f t="shared" si="5"/>
        <v>0</v>
      </c>
      <c r="R14" s="118">
        <f t="shared" si="6"/>
        <v>0</v>
      </c>
      <c r="S14" s="119">
        <f t="shared" si="7"/>
        <v>0</v>
      </c>
      <c r="T14" s="120">
        <f t="shared" si="8"/>
        <v>0</v>
      </c>
      <c r="U14" s="121">
        <f t="shared" si="9"/>
        <v>0</v>
      </c>
    </row>
    <row r="15" spans="1:21" ht="15.75">
      <c r="A15" s="109">
        <v>11</v>
      </c>
      <c r="B15" s="110">
        <f t="shared" si="10"/>
        <v>0</v>
      </c>
      <c r="C15" s="111">
        <f t="shared" si="11"/>
        <v>0</v>
      </c>
      <c r="D15" s="111">
        <f t="shared" si="12"/>
        <v>0</v>
      </c>
      <c r="E15" s="111">
        <f t="shared" si="13"/>
        <v>0</v>
      </c>
      <c r="F15" s="112">
        <f t="shared" si="14"/>
        <v>0</v>
      </c>
      <c r="G15" s="113">
        <f t="shared" si="15"/>
        <v>0</v>
      </c>
      <c r="H15" s="114">
        <f t="shared" si="16"/>
        <v>0.05</v>
      </c>
      <c r="I15" s="114">
        <f t="shared" si="17"/>
        <v>0.2</v>
      </c>
      <c r="J15" s="114">
        <f t="shared" si="18"/>
        <v>0.8</v>
      </c>
      <c r="K15" s="115">
        <f t="shared" si="19"/>
        <v>1</v>
      </c>
      <c r="L15" s="116">
        <f ca="1" t="shared" si="0"/>
        <v>0.45845545353425976</v>
      </c>
      <c r="M15" s="117">
        <f t="shared" si="1"/>
        <v>0.25845545353425975</v>
      </c>
      <c r="N15" s="105">
        <f t="shared" si="2"/>
        <v>3</v>
      </c>
      <c r="O15" s="118">
        <f t="shared" si="3"/>
        <v>0</v>
      </c>
      <c r="P15" s="118">
        <f t="shared" si="4"/>
        <v>0</v>
      </c>
      <c r="Q15" s="118">
        <f t="shared" si="5"/>
        <v>0</v>
      </c>
      <c r="R15" s="118">
        <f t="shared" si="6"/>
        <v>0</v>
      </c>
      <c r="S15" s="119">
        <f t="shared" si="7"/>
        <v>0</v>
      </c>
      <c r="T15" s="120">
        <f t="shared" si="8"/>
        <v>0</v>
      </c>
      <c r="U15" s="121">
        <f t="shared" si="9"/>
        <v>0</v>
      </c>
    </row>
    <row r="16" spans="1:21" ht="15.75">
      <c r="A16" s="109">
        <v>12</v>
      </c>
      <c r="B16" s="110">
        <f t="shared" si="10"/>
        <v>0</v>
      </c>
      <c r="C16" s="111">
        <f t="shared" si="11"/>
        <v>0</v>
      </c>
      <c r="D16" s="111">
        <f t="shared" si="12"/>
        <v>0</v>
      </c>
      <c r="E16" s="111">
        <f t="shared" si="13"/>
        <v>0</v>
      </c>
      <c r="F16" s="112">
        <f t="shared" si="14"/>
        <v>0</v>
      </c>
      <c r="G16" s="113">
        <f t="shared" si="15"/>
        <v>0</v>
      </c>
      <c r="H16" s="114">
        <f t="shared" si="16"/>
        <v>0.05</v>
      </c>
      <c r="I16" s="114">
        <f t="shared" si="17"/>
        <v>0.2</v>
      </c>
      <c r="J16" s="114">
        <f t="shared" si="18"/>
        <v>0.8</v>
      </c>
      <c r="K16" s="115">
        <f t="shared" si="19"/>
        <v>1</v>
      </c>
      <c r="L16" s="116">
        <f ca="1" t="shared" si="0"/>
        <v>0.737628308555194</v>
      </c>
      <c r="M16" s="117">
        <f t="shared" si="1"/>
        <v>0.5376283085551941</v>
      </c>
      <c r="N16" s="105">
        <f t="shared" si="2"/>
        <v>3</v>
      </c>
      <c r="O16" s="118">
        <f t="shared" si="3"/>
        <v>0</v>
      </c>
      <c r="P16" s="118">
        <f t="shared" si="4"/>
        <v>0</v>
      </c>
      <c r="Q16" s="118">
        <f t="shared" si="5"/>
        <v>0</v>
      </c>
      <c r="R16" s="118">
        <f t="shared" si="6"/>
        <v>0</v>
      </c>
      <c r="S16" s="119">
        <f t="shared" si="7"/>
        <v>0</v>
      </c>
      <c r="T16" s="120">
        <f t="shared" si="8"/>
        <v>0</v>
      </c>
      <c r="U16" s="121">
        <f t="shared" si="9"/>
        <v>0</v>
      </c>
    </row>
    <row r="17" spans="1:21" ht="15.75">
      <c r="A17" s="109">
        <v>13</v>
      </c>
      <c r="B17" s="110">
        <f t="shared" si="10"/>
        <v>0</v>
      </c>
      <c r="C17" s="111">
        <f t="shared" si="11"/>
        <v>0</v>
      </c>
      <c r="D17" s="111">
        <f t="shared" si="12"/>
        <v>0</v>
      </c>
      <c r="E17" s="111">
        <f t="shared" si="13"/>
        <v>0</v>
      </c>
      <c r="F17" s="112">
        <f t="shared" si="14"/>
        <v>0</v>
      </c>
      <c r="G17" s="113">
        <f t="shared" si="15"/>
        <v>0</v>
      </c>
      <c r="H17" s="114">
        <f t="shared" si="16"/>
        <v>0.05</v>
      </c>
      <c r="I17" s="114">
        <f t="shared" si="17"/>
        <v>0.2</v>
      </c>
      <c r="J17" s="114">
        <f t="shared" si="18"/>
        <v>0.8</v>
      </c>
      <c r="K17" s="115">
        <f t="shared" si="19"/>
        <v>1</v>
      </c>
      <c r="L17" s="116">
        <f ca="1" t="shared" si="0"/>
        <v>0.619011507941593</v>
      </c>
      <c r="M17" s="117">
        <f t="shared" si="1"/>
        <v>0.419011507941593</v>
      </c>
      <c r="N17" s="105">
        <f t="shared" si="2"/>
        <v>3</v>
      </c>
      <c r="O17" s="118">
        <f t="shared" si="3"/>
        <v>0</v>
      </c>
      <c r="P17" s="118">
        <f t="shared" si="4"/>
        <v>0</v>
      </c>
      <c r="Q17" s="118">
        <f t="shared" si="5"/>
        <v>0</v>
      </c>
      <c r="R17" s="118">
        <f t="shared" si="6"/>
        <v>0</v>
      </c>
      <c r="S17" s="119">
        <f t="shared" si="7"/>
        <v>0</v>
      </c>
      <c r="T17" s="120">
        <f t="shared" si="8"/>
        <v>0</v>
      </c>
      <c r="U17" s="121">
        <f t="shared" si="9"/>
        <v>0</v>
      </c>
    </row>
    <row r="18" spans="1:21" ht="15.75">
      <c r="A18" s="109">
        <v>14</v>
      </c>
      <c r="B18" s="110">
        <f t="shared" si="10"/>
        <v>0</v>
      </c>
      <c r="C18" s="111">
        <f t="shared" si="11"/>
        <v>0</v>
      </c>
      <c r="D18" s="111">
        <f t="shared" si="12"/>
        <v>0</v>
      </c>
      <c r="E18" s="111">
        <f t="shared" si="13"/>
        <v>0</v>
      </c>
      <c r="F18" s="112">
        <f t="shared" si="14"/>
        <v>0</v>
      </c>
      <c r="G18" s="113">
        <f t="shared" si="15"/>
        <v>0</v>
      </c>
      <c r="H18" s="114">
        <f t="shared" si="16"/>
        <v>0.05</v>
      </c>
      <c r="I18" s="114">
        <f t="shared" si="17"/>
        <v>0.2</v>
      </c>
      <c r="J18" s="114">
        <f t="shared" si="18"/>
        <v>0.8</v>
      </c>
      <c r="K18" s="115">
        <f t="shared" si="19"/>
        <v>1</v>
      </c>
      <c r="L18" s="116">
        <f ca="1" t="shared" si="0"/>
        <v>0.21634889716716188</v>
      </c>
      <c r="M18" s="117">
        <f t="shared" si="1"/>
        <v>0.01634889716716187</v>
      </c>
      <c r="N18" s="105">
        <f t="shared" si="2"/>
        <v>3</v>
      </c>
      <c r="O18" s="118">
        <f t="shared" si="3"/>
        <v>0</v>
      </c>
      <c r="P18" s="118">
        <f t="shared" si="4"/>
        <v>0</v>
      </c>
      <c r="Q18" s="118">
        <f t="shared" si="5"/>
        <v>0</v>
      </c>
      <c r="R18" s="118">
        <f t="shared" si="6"/>
        <v>0</v>
      </c>
      <c r="S18" s="119">
        <f t="shared" si="7"/>
        <v>0</v>
      </c>
      <c r="T18" s="120">
        <f t="shared" si="8"/>
        <v>0</v>
      </c>
      <c r="U18" s="121">
        <f t="shared" si="9"/>
        <v>0</v>
      </c>
    </row>
    <row r="19" spans="1:21" ht="15.75">
      <c r="A19" s="109">
        <v>15</v>
      </c>
      <c r="B19" s="110">
        <f t="shared" si="10"/>
        <v>0</v>
      </c>
      <c r="C19" s="111">
        <f t="shared" si="11"/>
        <v>0</v>
      </c>
      <c r="D19" s="111">
        <f t="shared" si="12"/>
        <v>0</v>
      </c>
      <c r="E19" s="111">
        <f t="shared" si="13"/>
        <v>0</v>
      </c>
      <c r="F19" s="112">
        <f t="shared" si="14"/>
        <v>0</v>
      </c>
      <c r="G19" s="113">
        <f t="shared" si="15"/>
        <v>0</v>
      </c>
      <c r="H19" s="114">
        <f t="shared" si="16"/>
        <v>0.05</v>
      </c>
      <c r="I19" s="114">
        <f t="shared" si="17"/>
        <v>0.2</v>
      </c>
      <c r="J19" s="114">
        <f t="shared" si="18"/>
        <v>0.8</v>
      </c>
      <c r="K19" s="115">
        <f t="shared" si="19"/>
        <v>1</v>
      </c>
      <c r="L19" s="116">
        <f ca="1" t="shared" si="0"/>
        <v>0.30999296981391833</v>
      </c>
      <c r="M19" s="117">
        <f t="shared" si="1"/>
        <v>0.10999296981391832</v>
      </c>
      <c r="N19" s="105">
        <f t="shared" si="2"/>
        <v>3</v>
      </c>
      <c r="O19" s="118">
        <f t="shared" si="3"/>
        <v>0</v>
      </c>
      <c r="P19" s="118">
        <f t="shared" si="4"/>
        <v>0</v>
      </c>
      <c r="Q19" s="118">
        <f t="shared" si="5"/>
        <v>0</v>
      </c>
      <c r="R19" s="118">
        <f t="shared" si="6"/>
        <v>0</v>
      </c>
      <c r="S19" s="119">
        <f t="shared" si="7"/>
        <v>0</v>
      </c>
      <c r="T19" s="120">
        <f t="shared" si="8"/>
        <v>0</v>
      </c>
      <c r="U19" s="121">
        <f t="shared" si="9"/>
        <v>0</v>
      </c>
    </row>
    <row r="20" spans="1:21" ht="15.75">
      <c r="A20" s="109">
        <v>16</v>
      </c>
      <c r="B20" s="110">
        <f t="shared" si="10"/>
        <v>0</v>
      </c>
      <c r="C20" s="111">
        <f t="shared" si="11"/>
        <v>0</v>
      </c>
      <c r="D20" s="111">
        <f t="shared" si="12"/>
        <v>0</v>
      </c>
      <c r="E20" s="111">
        <f t="shared" si="13"/>
        <v>0</v>
      </c>
      <c r="F20" s="112">
        <f t="shared" si="14"/>
        <v>0</v>
      </c>
      <c r="G20" s="113">
        <f t="shared" si="15"/>
        <v>0</v>
      </c>
      <c r="H20" s="114">
        <f t="shared" si="16"/>
        <v>0.05</v>
      </c>
      <c r="I20" s="114">
        <f t="shared" si="17"/>
        <v>0.2</v>
      </c>
      <c r="J20" s="114">
        <f t="shared" si="18"/>
        <v>0.8</v>
      </c>
      <c r="K20" s="115">
        <f t="shared" si="19"/>
        <v>1</v>
      </c>
      <c r="L20" s="116">
        <f ca="1" t="shared" si="0"/>
        <v>0.1412472060699399</v>
      </c>
      <c r="M20" s="117">
        <f t="shared" si="1"/>
        <v>0.0912472060699399</v>
      </c>
      <c r="N20" s="105">
        <f t="shared" si="2"/>
        <v>2</v>
      </c>
      <c r="O20" s="118">
        <f t="shared" si="3"/>
        <v>0</v>
      </c>
      <c r="P20" s="118">
        <f t="shared" si="4"/>
        <v>0</v>
      </c>
      <c r="Q20" s="118">
        <f t="shared" si="5"/>
        <v>0</v>
      </c>
      <c r="R20" s="118">
        <f t="shared" si="6"/>
        <v>0</v>
      </c>
      <c r="S20" s="119">
        <f t="shared" si="7"/>
        <v>0</v>
      </c>
      <c r="T20" s="120">
        <f t="shared" si="8"/>
        <v>0</v>
      </c>
      <c r="U20" s="121">
        <f t="shared" si="9"/>
        <v>0</v>
      </c>
    </row>
    <row r="21" spans="1:21" ht="15.75">
      <c r="A21" s="109">
        <v>17</v>
      </c>
      <c r="B21" s="110">
        <f t="shared" si="10"/>
        <v>0</v>
      </c>
      <c r="C21" s="111">
        <f t="shared" si="11"/>
        <v>0</v>
      </c>
      <c r="D21" s="111">
        <f t="shared" si="12"/>
        <v>0</v>
      </c>
      <c r="E21" s="111">
        <f t="shared" si="13"/>
        <v>0</v>
      </c>
      <c r="F21" s="112">
        <f t="shared" si="14"/>
        <v>0</v>
      </c>
      <c r="G21" s="113">
        <f t="shared" si="15"/>
        <v>0</v>
      </c>
      <c r="H21" s="114">
        <f t="shared" si="16"/>
        <v>0.05</v>
      </c>
      <c r="I21" s="114">
        <f t="shared" si="17"/>
        <v>0.2</v>
      </c>
      <c r="J21" s="114">
        <f t="shared" si="18"/>
        <v>0.8</v>
      </c>
      <c r="K21" s="115">
        <f t="shared" si="19"/>
        <v>1</v>
      </c>
      <c r="L21" s="116">
        <f ca="1" t="shared" si="0"/>
        <v>0.8505959818632292</v>
      </c>
      <c r="M21" s="117">
        <f t="shared" si="1"/>
        <v>0.05059598186322911</v>
      </c>
      <c r="N21" s="105">
        <f t="shared" si="2"/>
        <v>4</v>
      </c>
      <c r="O21" s="118">
        <f t="shared" si="3"/>
        <v>0</v>
      </c>
      <c r="P21" s="118">
        <f t="shared" si="4"/>
        <v>0</v>
      </c>
      <c r="Q21" s="118">
        <f t="shared" si="5"/>
        <v>0</v>
      </c>
      <c r="R21" s="118">
        <f t="shared" si="6"/>
        <v>0</v>
      </c>
      <c r="S21" s="119">
        <f t="shared" si="7"/>
        <v>0</v>
      </c>
      <c r="T21" s="120">
        <f t="shared" si="8"/>
        <v>0</v>
      </c>
      <c r="U21" s="121">
        <f t="shared" si="9"/>
        <v>0</v>
      </c>
    </row>
    <row r="22" spans="1:21" ht="15.75">
      <c r="A22" s="109">
        <v>18</v>
      </c>
      <c r="B22" s="110">
        <f t="shared" si="10"/>
        <v>0</v>
      </c>
      <c r="C22" s="111">
        <f t="shared" si="11"/>
        <v>0</v>
      </c>
      <c r="D22" s="111">
        <f t="shared" si="12"/>
        <v>0</v>
      </c>
      <c r="E22" s="111">
        <f t="shared" si="13"/>
        <v>0</v>
      </c>
      <c r="F22" s="112">
        <f t="shared" si="14"/>
        <v>0</v>
      </c>
      <c r="G22" s="113">
        <f t="shared" si="15"/>
        <v>0</v>
      </c>
      <c r="H22" s="114">
        <f t="shared" si="16"/>
        <v>0.05</v>
      </c>
      <c r="I22" s="114">
        <f t="shared" si="17"/>
        <v>0.2</v>
      </c>
      <c r="J22" s="114">
        <f t="shared" si="18"/>
        <v>0.8</v>
      </c>
      <c r="K22" s="115">
        <f t="shared" si="19"/>
        <v>1</v>
      </c>
      <c r="L22" s="116">
        <f ca="1" t="shared" si="0"/>
        <v>0.3308586356399943</v>
      </c>
      <c r="M22" s="117">
        <f t="shared" si="1"/>
        <v>0.13085863563999428</v>
      </c>
      <c r="N22" s="105">
        <f t="shared" si="2"/>
        <v>3</v>
      </c>
      <c r="O22" s="118">
        <f t="shared" si="3"/>
        <v>0</v>
      </c>
      <c r="P22" s="118">
        <f t="shared" si="4"/>
        <v>0</v>
      </c>
      <c r="Q22" s="118">
        <f t="shared" si="5"/>
        <v>0</v>
      </c>
      <c r="R22" s="118">
        <f t="shared" si="6"/>
        <v>0</v>
      </c>
      <c r="S22" s="119">
        <f t="shared" si="7"/>
        <v>0</v>
      </c>
      <c r="T22" s="120">
        <f t="shared" si="8"/>
        <v>0</v>
      </c>
      <c r="U22" s="121">
        <f t="shared" si="9"/>
        <v>0</v>
      </c>
    </row>
    <row r="23" spans="1:21" ht="15.75">
      <c r="A23" s="109">
        <v>19</v>
      </c>
      <c r="B23" s="110">
        <f t="shared" si="10"/>
        <v>0</v>
      </c>
      <c r="C23" s="111">
        <f t="shared" si="11"/>
        <v>0</v>
      </c>
      <c r="D23" s="111">
        <f t="shared" si="12"/>
        <v>0</v>
      </c>
      <c r="E23" s="111">
        <f t="shared" si="13"/>
        <v>0</v>
      </c>
      <c r="F23" s="112">
        <f t="shared" si="14"/>
        <v>0</v>
      </c>
      <c r="G23" s="113">
        <f t="shared" si="15"/>
        <v>0</v>
      </c>
      <c r="H23" s="114">
        <f t="shared" si="16"/>
        <v>0.05</v>
      </c>
      <c r="I23" s="114">
        <f t="shared" si="17"/>
        <v>0.2</v>
      </c>
      <c r="J23" s="114">
        <f t="shared" si="18"/>
        <v>0.8</v>
      </c>
      <c r="K23" s="115">
        <f t="shared" si="19"/>
        <v>1</v>
      </c>
      <c r="L23" s="116">
        <f ca="1" t="shared" si="0"/>
        <v>0.5737964796968469</v>
      </c>
      <c r="M23" s="117">
        <f t="shared" si="1"/>
        <v>0.3737964796968469</v>
      </c>
      <c r="N23" s="105">
        <f t="shared" si="2"/>
        <v>3</v>
      </c>
      <c r="O23" s="118">
        <f t="shared" si="3"/>
        <v>0</v>
      </c>
      <c r="P23" s="118">
        <f t="shared" si="4"/>
        <v>0</v>
      </c>
      <c r="Q23" s="118">
        <f t="shared" si="5"/>
        <v>0</v>
      </c>
      <c r="R23" s="118">
        <f t="shared" si="6"/>
        <v>0</v>
      </c>
      <c r="S23" s="119">
        <f t="shared" si="7"/>
        <v>0</v>
      </c>
      <c r="T23" s="120">
        <f t="shared" si="8"/>
        <v>0</v>
      </c>
      <c r="U23" s="121">
        <f t="shared" si="9"/>
        <v>0</v>
      </c>
    </row>
    <row r="24" spans="1:21" ht="16.5" thickBot="1">
      <c r="A24" s="122">
        <v>20</v>
      </c>
      <c r="B24" s="123">
        <f t="shared" si="10"/>
        <v>0</v>
      </c>
      <c r="C24" s="124">
        <f t="shared" si="11"/>
        <v>0</v>
      </c>
      <c r="D24" s="124">
        <f t="shared" si="12"/>
        <v>0</v>
      </c>
      <c r="E24" s="124">
        <f t="shared" si="13"/>
        <v>0</v>
      </c>
      <c r="F24" s="125">
        <f t="shared" si="14"/>
        <v>0</v>
      </c>
      <c r="G24" s="126">
        <f t="shared" si="15"/>
        <v>0</v>
      </c>
      <c r="H24" s="127">
        <f t="shared" si="16"/>
        <v>0.05</v>
      </c>
      <c r="I24" s="127">
        <f t="shared" si="17"/>
        <v>0.2</v>
      </c>
      <c r="J24" s="127">
        <f t="shared" si="18"/>
        <v>0.8</v>
      </c>
      <c r="K24" s="128">
        <f t="shared" si="19"/>
        <v>1</v>
      </c>
      <c r="L24" s="129">
        <f ca="1" t="shared" si="0"/>
        <v>0.11272069021452213</v>
      </c>
      <c r="M24" s="130">
        <f t="shared" si="1"/>
        <v>0.06272069021452213</v>
      </c>
      <c r="N24" s="131">
        <f t="shared" si="2"/>
        <v>2</v>
      </c>
      <c r="O24" s="132">
        <f t="shared" si="3"/>
        <v>0</v>
      </c>
      <c r="P24" s="132">
        <f t="shared" si="4"/>
        <v>0</v>
      </c>
      <c r="Q24" s="132">
        <f t="shared" si="5"/>
        <v>0</v>
      </c>
      <c r="R24" s="132">
        <f t="shared" si="6"/>
        <v>0</v>
      </c>
      <c r="S24" s="133">
        <f t="shared" si="7"/>
        <v>0</v>
      </c>
      <c r="T24" s="134">
        <f t="shared" si="8"/>
        <v>0</v>
      </c>
      <c r="U24" s="135">
        <f t="shared" si="9"/>
        <v>0</v>
      </c>
    </row>
    <row r="25" spans="11:21" ht="16.5" thickBot="1">
      <c r="K25" s="136" t="s">
        <v>198</v>
      </c>
      <c r="L25" s="137"/>
      <c r="M25" s="137"/>
      <c r="N25" s="137"/>
      <c r="O25" s="137"/>
      <c r="P25" s="137"/>
      <c r="Q25" s="137"/>
      <c r="R25" s="137"/>
      <c r="S25" s="137"/>
      <c r="T25" s="137"/>
      <c r="U25" s="138">
        <f>NPV(DCF!B3,U5:U24)</f>
        <v>0</v>
      </c>
    </row>
    <row r="26" spans="11:21" ht="16.5" thickBot="1">
      <c r="K26" s="139" t="s">
        <v>199</v>
      </c>
      <c r="L26" s="140"/>
      <c r="M26" s="140"/>
      <c r="N26" s="140"/>
      <c r="O26" s="140"/>
      <c r="P26" s="140"/>
      <c r="Q26" s="140"/>
      <c r="R26" s="140"/>
      <c r="S26" s="140"/>
      <c r="T26" s="140"/>
      <c r="U26" s="141">
        <f>-(PMT(DCF!B3,20,U25))</f>
        <v>0</v>
      </c>
    </row>
  </sheetData>
  <sheetProtection/>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25"/>
  <dimension ref="A1:U26"/>
  <sheetViews>
    <sheetView showGridLines="0" zoomScale="75" zoomScaleNormal="75" zoomScalePageLayoutView="0" workbookViewId="0" topLeftCell="A1">
      <selection activeCell="Z18" sqref="Z18"/>
    </sheetView>
  </sheetViews>
  <sheetFormatPr defaultColWidth="9.140625" defaultRowHeight="12.75"/>
  <cols>
    <col min="1" max="1" width="9.7109375" style="46" bestFit="1" customWidth="1"/>
    <col min="2" max="5" width="10.57421875" style="46" customWidth="1"/>
    <col min="6" max="6" width="11.7109375" style="46" bestFit="1" customWidth="1"/>
    <col min="7" max="10" width="9.57421875" style="46" customWidth="1"/>
    <col min="11" max="11" width="11.7109375" style="46" bestFit="1" customWidth="1"/>
    <col min="12" max="14" width="8.8515625" style="46" hidden="1" customWidth="1"/>
    <col min="15" max="20" width="10.8515625" style="46" hidden="1" customWidth="1"/>
    <col min="21" max="21" width="18.7109375" style="46" bestFit="1" customWidth="1"/>
    <col min="22" max="16384" width="9.140625" style="46" customWidth="1"/>
  </cols>
  <sheetData>
    <row r="1" ht="26.25">
      <c r="A1" s="2" t="s">
        <v>200</v>
      </c>
    </row>
    <row r="2" ht="15.75" thickBot="1"/>
    <row r="3" spans="2:11" ht="16.5" thickBot="1">
      <c r="B3" s="142" t="s">
        <v>176</v>
      </c>
      <c r="C3" s="143"/>
      <c r="D3" s="143"/>
      <c r="E3" s="143"/>
      <c r="F3" s="144"/>
      <c r="G3" s="145"/>
      <c r="H3" s="146"/>
      <c r="I3" s="146" t="s">
        <v>169</v>
      </c>
      <c r="J3" s="146"/>
      <c r="K3" s="147"/>
    </row>
    <row r="4" spans="1:21" ht="16.5" thickBot="1">
      <c r="A4" s="148" t="s">
        <v>184</v>
      </c>
      <c r="B4" s="149" t="s">
        <v>187</v>
      </c>
      <c r="C4" s="150" t="s">
        <v>171</v>
      </c>
      <c r="D4" s="150" t="s">
        <v>188</v>
      </c>
      <c r="E4" s="150" t="s">
        <v>174</v>
      </c>
      <c r="F4" s="151" t="s">
        <v>175</v>
      </c>
      <c r="G4" s="152" t="s">
        <v>187</v>
      </c>
      <c r="H4" s="153" t="s">
        <v>171</v>
      </c>
      <c r="I4" s="153" t="s">
        <v>188</v>
      </c>
      <c r="J4" s="153" t="s">
        <v>174</v>
      </c>
      <c r="K4" s="154" t="s">
        <v>175</v>
      </c>
      <c r="L4" s="155" t="s">
        <v>189</v>
      </c>
      <c r="M4" s="148" t="s">
        <v>190</v>
      </c>
      <c r="N4" s="148" t="s">
        <v>191</v>
      </c>
      <c r="O4" s="156" t="s">
        <v>192</v>
      </c>
      <c r="P4" s="156" t="s">
        <v>193</v>
      </c>
      <c r="Q4" s="156" t="s">
        <v>194</v>
      </c>
      <c r="R4" s="156" t="s">
        <v>195</v>
      </c>
      <c r="S4" s="157" t="s">
        <v>113</v>
      </c>
      <c r="T4" s="148" t="s">
        <v>196</v>
      </c>
      <c r="U4" s="158" t="s">
        <v>197</v>
      </c>
    </row>
    <row r="5" spans="1:21" ht="15.75">
      <c r="A5" s="159">
        <v>1</v>
      </c>
      <c r="B5" s="160">
        <f>'Risk Analysis'!D13</f>
        <v>0</v>
      </c>
      <c r="C5" s="161">
        <f>'Risk Analysis'!D14</f>
        <v>0</v>
      </c>
      <c r="D5" s="161">
        <f>'Risk Analysis'!D15</f>
        <v>0</v>
      </c>
      <c r="E5" s="161">
        <f>'Risk Analysis'!D16</f>
        <v>0</v>
      </c>
      <c r="F5" s="162">
        <f>'Risk Analysis'!D17</f>
        <v>0</v>
      </c>
      <c r="G5" s="163">
        <f>'Risk Analysis'!E13</f>
        <v>0</v>
      </c>
      <c r="H5" s="164">
        <f>'Risk Analysis'!E14</f>
        <v>0.1</v>
      </c>
      <c r="I5" s="164">
        <f>'Risk Analysis'!E15</f>
        <v>0.4</v>
      </c>
      <c r="J5" s="164">
        <f>'Risk Analysis'!E16</f>
        <v>0.7</v>
      </c>
      <c r="K5" s="165">
        <f>'Risk Analysis'!E17</f>
        <v>1</v>
      </c>
      <c r="L5" s="166">
        <f aca="true" ca="1" t="shared" si="0" ref="L5:L24">RAND()</f>
        <v>0.6432718344284387</v>
      </c>
      <c r="M5" s="167">
        <f aca="true" t="shared" si="1" ref="M5:M24">L5-HLOOKUP(L5,G5:K5,1)</f>
        <v>0.2432718344284387</v>
      </c>
      <c r="N5" s="168">
        <f aca="true" t="shared" si="2" ref="N5:N24">MATCH(L5,G5:K5)</f>
        <v>3</v>
      </c>
      <c r="O5" s="169">
        <f aca="true" t="shared" si="3" ref="O5:O24">(C5-B5)/(H5-G5)</f>
        <v>0</v>
      </c>
      <c r="P5" s="169">
        <f aca="true" t="shared" si="4" ref="P5:P24">(D5-C5)/(I5-H5)</f>
        <v>0</v>
      </c>
      <c r="Q5" s="169">
        <f aca="true" t="shared" si="5" ref="Q5:Q24">(E5-D5)/(J5-I5)</f>
        <v>0</v>
      </c>
      <c r="R5" s="169">
        <f aca="true" t="shared" si="6" ref="R5:R24">(F5-E5)/(K5-J5)</f>
        <v>0</v>
      </c>
      <c r="S5" s="170">
        <f aca="true" t="shared" si="7" ref="S5:S24">IF(N5=1,B5,IF(N5=2,C5,IF(N5=3,D5,IF(N5=4,E5,0))))</f>
        <v>0</v>
      </c>
      <c r="T5" s="170">
        <f aca="true" t="shared" si="8" ref="T5:T24">IF(N5=1,O5,IF(N5=2,P5,IF(N5=3,Q5,IF(N5=4,R5,0))))</f>
        <v>0</v>
      </c>
      <c r="U5" s="171">
        <f aca="true" t="shared" si="9" ref="U5:U24">S5+(T5*M5)</f>
        <v>0</v>
      </c>
    </row>
    <row r="6" spans="1:21" ht="15.75">
      <c r="A6" s="172">
        <v>2</v>
      </c>
      <c r="B6" s="173">
        <f aca="true" t="shared" si="10" ref="B6:B24">B5</f>
        <v>0</v>
      </c>
      <c r="C6" s="174">
        <f aca="true" t="shared" si="11" ref="C6:C24">C5</f>
        <v>0</v>
      </c>
      <c r="D6" s="174">
        <f aca="true" t="shared" si="12" ref="D6:D24">D5</f>
        <v>0</v>
      </c>
      <c r="E6" s="174">
        <f aca="true" t="shared" si="13" ref="E6:E24">E5</f>
        <v>0</v>
      </c>
      <c r="F6" s="175">
        <f aca="true" t="shared" si="14" ref="F6:F24">F5</f>
        <v>0</v>
      </c>
      <c r="G6" s="176">
        <f aca="true" t="shared" si="15" ref="G6:G24">G5</f>
        <v>0</v>
      </c>
      <c r="H6" s="177">
        <f aca="true" t="shared" si="16" ref="H6:H24">H5</f>
        <v>0.1</v>
      </c>
      <c r="I6" s="177">
        <f aca="true" t="shared" si="17" ref="I6:I24">I5</f>
        <v>0.4</v>
      </c>
      <c r="J6" s="177">
        <f aca="true" t="shared" si="18" ref="J6:J24">J5</f>
        <v>0.7</v>
      </c>
      <c r="K6" s="178">
        <f aca="true" t="shared" si="19" ref="K6:K24">K5</f>
        <v>1</v>
      </c>
      <c r="L6" s="179">
        <f ca="1" t="shared" si="0"/>
        <v>0.21932671273323323</v>
      </c>
      <c r="M6" s="180">
        <f t="shared" si="1"/>
        <v>0.11932671273323323</v>
      </c>
      <c r="N6" s="168">
        <f t="shared" si="2"/>
        <v>2</v>
      </c>
      <c r="O6" s="181">
        <f t="shared" si="3"/>
        <v>0</v>
      </c>
      <c r="P6" s="181">
        <f t="shared" si="4"/>
        <v>0</v>
      </c>
      <c r="Q6" s="181">
        <f t="shared" si="5"/>
        <v>0</v>
      </c>
      <c r="R6" s="181">
        <f t="shared" si="6"/>
        <v>0</v>
      </c>
      <c r="S6" s="182">
        <f t="shared" si="7"/>
        <v>0</v>
      </c>
      <c r="T6" s="183">
        <f t="shared" si="8"/>
        <v>0</v>
      </c>
      <c r="U6" s="184">
        <f t="shared" si="9"/>
        <v>0</v>
      </c>
    </row>
    <row r="7" spans="1:21" ht="15.75">
      <c r="A7" s="172">
        <v>3</v>
      </c>
      <c r="B7" s="173">
        <f t="shared" si="10"/>
        <v>0</v>
      </c>
      <c r="C7" s="174">
        <f t="shared" si="11"/>
        <v>0</v>
      </c>
      <c r="D7" s="174">
        <f t="shared" si="12"/>
        <v>0</v>
      </c>
      <c r="E7" s="174">
        <f t="shared" si="13"/>
        <v>0</v>
      </c>
      <c r="F7" s="175">
        <f t="shared" si="14"/>
        <v>0</v>
      </c>
      <c r="G7" s="176">
        <f t="shared" si="15"/>
        <v>0</v>
      </c>
      <c r="H7" s="177">
        <f t="shared" si="16"/>
        <v>0.1</v>
      </c>
      <c r="I7" s="177">
        <f t="shared" si="17"/>
        <v>0.4</v>
      </c>
      <c r="J7" s="177">
        <f t="shared" si="18"/>
        <v>0.7</v>
      </c>
      <c r="K7" s="178">
        <f t="shared" si="19"/>
        <v>1</v>
      </c>
      <c r="L7" s="179">
        <f ca="1" t="shared" si="0"/>
        <v>0.7907017872684272</v>
      </c>
      <c r="M7" s="180">
        <f t="shared" si="1"/>
        <v>0.09070178726842726</v>
      </c>
      <c r="N7" s="168">
        <f t="shared" si="2"/>
        <v>4</v>
      </c>
      <c r="O7" s="181">
        <f t="shared" si="3"/>
        <v>0</v>
      </c>
      <c r="P7" s="181">
        <f t="shared" si="4"/>
        <v>0</v>
      </c>
      <c r="Q7" s="181">
        <f t="shared" si="5"/>
        <v>0</v>
      </c>
      <c r="R7" s="181">
        <f t="shared" si="6"/>
        <v>0</v>
      </c>
      <c r="S7" s="182">
        <f t="shared" si="7"/>
        <v>0</v>
      </c>
      <c r="T7" s="183">
        <f t="shared" si="8"/>
        <v>0</v>
      </c>
      <c r="U7" s="184">
        <f t="shared" si="9"/>
        <v>0</v>
      </c>
    </row>
    <row r="8" spans="1:21" ht="15.75">
      <c r="A8" s="172">
        <v>4</v>
      </c>
      <c r="B8" s="173">
        <f t="shared" si="10"/>
        <v>0</v>
      </c>
      <c r="C8" s="174">
        <f t="shared" si="11"/>
        <v>0</v>
      </c>
      <c r="D8" s="174">
        <f t="shared" si="12"/>
        <v>0</v>
      </c>
      <c r="E8" s="174">
        <f t="shared" si="13"/>
        <v>0</v>
      </c>
      <c r="F8" s="175">
        <f t="shared" si="14"/>
        <v>0</v>
      </c>
      <c r="G8" s="176">
        <f t="shared" si="15"/>
        <v>0</v>
      </c>
      <c r="H8" s="177">
        <f t="shared" si="16"/>
        <v>0.1</v>
      </c>
      <c r="I8" s="177">
        <f t="shared" si="17"/>
        <v>0.4</v>
      </c>
      <c r="J8" s="177">
        <f t="shared" si="18"/>
        <v>0.7</v>
      </c>
      <c r="K8" s="178">
        <f t="shared" si="19"/>
        <v>1</v>
      </c>
      <c r="L8" s="179">
        <f ca="1" t="shared" si="0"/>
        <v>0.6079906225711504</v>
      </c>
      <c r="M8" s="180">
        <f t="shared" si="1"/>
        <v>0.20799062257115042</v>
      </c>
      <c r="N8" s="168">
        <f t="shared" si="2"/>
        <v>3</v>
      </c>
      <c r="O8" s="181">
        <f t="shared" si="3"/>
        <v>0</v>
      </c>
      <c r="P8" s="181">
        <f t="shared" si="4"/>
        <v>0</v>
      </c>
      <c r="Q8" s="181">
        <f t="shared" si="5"/>
        <v>0</v>
      </c>
      <c r="R8" s="181">
        <f t="shared" si="6"/>
        <v>0</v>
      </c>
      <c r="S8" s="182">
        <f t="shared" si="7"/>
        <v>0</v>
      </c>
      <c r="T8" s="183">
        <f t="shared" si="8"/>
        <v>0</v>
      </c>
      <c r="U8" s="184">
        <f t="shared" si="9"/>
        <v>0</v>
      </c>
    </row>
    <row r="9" spans="1:21" ht="15.75">
      <c r="A9" s="172">
        <v>5</v>
      </c>
      <c r="B9" s="173">
        <f t="shared" si="10"/>
        <v>0</v>
      </c>
      <c r="C9" s="174">
        <f t="shared" si="11"/>
        <v>0</v>
      </c>
      <c r="D9" s="174">
        <f t="shared" si="12"/>
        <v>0</v>
      </c>
      <c r="E9" s="174">
        <f t="shared" si="13"/>
        <v>0</v>
      </c>
      <c r="F9" s="175">
        <f t="shared" si="14"/>
        <v>0</v>
      </c>
      <c r="G9" s="176">
        <f t="shared" si="15"/>
        <v>0</v>
      </c>
      <c r="H9" s="177">
        <f t="shared" si="16"/>
        <v>0.1</v>
      </c>
      <c r="I9" s="177">
        <f t="shared" si="17"/>
        <v>0.4</v>
      </c>
      <c r="J9" s="177">
        <f t="shared" si="18"/>
        <v>0.7</v>
      </c>
      <c r="K9" s="178">
        <f t="shared" si="19"/>
        <v>1</v>
      </c>
      <c r="L9" s="179">
        <f ca="1" t="shared" si="0"/>
        <v>0.09947273612176577</v>
      </c>
      <c r="M9" s="180">
        <f t="shared" si="1"/>
        <v>0.09947273612176577</v>
      </c>
      <c r="N9" s="168">
        <f t="shared" si="2"/>
        <v>1</v>
      </c>
      <c r="O9" s="181">
        <f t="shared" si="3"/>
        <v>0</v>
      </c>
      <c r="P9" s="181">
        <f t="shared" si="4"/>
        <v>0</v>
      </c>
      <c r="Q9" s="181">
        <f t="shared" si="5"/>
        <v>0</v>
      </c>
      <c r="R9" s="181">
        <f t="shared" si="6"/>
        <v>0</v>
      </c>
      <c r="S9" s="182">
        <f t="shared" si="7"/>
        <v>0</v>
      </c>
      <c r="T9" s="183">
        <f t="shared" si="8"/>
        <v>0</v>
      </c>
      <c r="U9" s="184">
        <f t="shared" si="9"/>
        <v>0</v>
      </c>
    </row>
    <row r="10" spans="1:21" ht="15.75">
      <c r="A10" s="172">
        <v>6</v>
      </c>
      <c r="B10" s="173">
        <f t="shared" si="10"/>
        <v>0</v>
      </c>
      <c r="C10" s="174">
        <f t="shared" si="11"/>
        <v>0</v>
      </c>
      <c r="D10" s="174">
        <f t="shared" si="12"/>
        <v>0</v>
      </c>
      <c r="E10" s="174">
        <f t="shared" si="13"/>
        <v>0</v>
      </c>
      <c r="F10" s="175">
        <f t="shared" si="14"/>
        <v>0</v>
      </c>
      <c r="G10" s="176">
        <f t="shared" si="15"/>
        <v>0</v>
      </c>
      <c r="H10" s="177">
        <f t="shared" si="16"/>
        <v>0.1</v>
      </c>
      <c r="I10" s="177">
        <f t="shared" si="17"/>
        <v>0.4</v>
      </c>
      <c r="J10" s="177">
        <f t="shared" si="18"/>
        <v>0.7</v>
      </c>
      <c r="K10" s="178">
        <f t="shared" si="19"/>
        <v>1</v>
      </c>
      <c r="L10" s="179">
        <f ca="1" t="shared" si="0"/>
        <v>0.51369992850233</v>
      </c>
      <c r="M10" s="180">
        <f t="shared" si="1"/>
        <v>0.11369992850233002</v>
      </c>
      <c r="N10" s="168">
        <f t="shared" si="2"/>
        <v>3</v>
      </c>
      <c r="O10" s="181">
        <f t="shared" si="3"/>
        <v>0</v>
      </c>
      <c r="P10" s="181">
        <f t="shared" si="4"/>
        <v>0</v>
      </c>
      <c r="Q10" s="181">
        <f t="shared" si="5"/>
        <v>0</v>
      </c>
      <c r="R10" s="181">
        <f t="shared" si="6"/>
        <v>0</v>
      </c>
      <c r="S10" s="182">
        <f t="shared" si="7"/>
        <v>0</v>
      </c>
      <c r="T10" s="183">
        <f t="shared" si="8"/>
        <v>0</v>
      </c>
      <c r="U10" s="184">
        <f t="shared" si="9"/>
        <v>0</v>
      </c>
    </row>
    <row r="11" spans="1:21" ht="15.75">
      <c r="A11" s="172">
        <v>7</v>
      </c>
      <c r="B11" s="173">
        <f t="shared" si="10"/>
        <v>0</v>
      </c>
      <c r="C11" s="174">
        <f t="shared" si="11"/>
        <v>0</v>
      </c>
      <c r="D11" s="174">
        <f t="shared" si="12"/>
        <v>0</v>
      </c>
      <c r="E11" s="174">
        <f t="shared" si="13"/>
        <v>0</v>
      </c>
      <c r="F11" s="175">
        <f t="shared" si="14"/>
        <v>0</v>
      </c>
      <c r="G11" s="176">
        <f t="shared" si="15"/>
        <v>0</v>
      </c>
      <c r="H11" s="177">
        <f t="shared" si="16"/>
        <v>0.1</v>
      </c>
      <c r="I11" s="177">
        <f t="shared" si="17"/>
        <v>0.4</v>
      </c>
      <c r="J11" s="177">
        <f t="shared" si="18"/>
        <v>0.7</v>
      </c>
      <c r="K11" s="178">
        <f t="shared" si="19"/>
        <v>1</v>
      </c>
      <c r="L11" s="179">
        <f ca="1" t="shared" si="0"/>
        <v>0.09672628799135818</v>
      </c>
      <c r="M11" s="180">
        <f t="shared" si="1"/>
        <v>0.09672628799135818</v>
      </c>
      <c r="N11" s="168">
        <f t="shared" si="2"/>
        <v>1</v>
      </c>
      <c r="O11" s="181">
        <f t="shared" si="3"/>
        <v>0</v>
      </c>
      <c r="P11" s="181">
        <f t="shared" si="4"/>
        <v>0</v>
      </c>
      <c r="Q11" s="181">
        <f t="shared" si="5"/>
        <v>0</v>
      </c>
      <c r="R11" s="181">
        <f t="shared" si="6"/>
        <v>0</v>
      </c>
      <c r="S11" s="182">
        <f t="shared" si="7"/>
        <v>0</v>
      </c>
      <c r="T11" s="183">
        <f t="shared" si="8"/>
        <v>0</v>
      </c>
      <c r="U11" s="184">
        <f t="shared" si="9"/>
        <v>0</v>
      </c>
    </row>
    <row r="12" spans="1:21" ht="15.75">
      <c r="A12" s="172">
        <v>8</v>
      </c>
      <c r="B12" s="173">
        <f t="shared" si="10"/>
        <v>0</v>
      </c>
      <c r="C12" s="174">
        <f t="shared" si="11"/>
        <v>0</v>
      </c>
      <c r="D12" s="174">
        <f t="shared" si="12"/>
        <v>0</v>
      </c>
      <c r="E12" s="174">
        <f t="shared" si="13"/>
        <v>0</v>
      </c>
      <c r="F12" s="175">
        <f t="shared" si="14"/>
        <v>0</v>
      </c>
      <c r="G12" s="176">
        <f t="shared" si="15"/>
        <v>0</v>
      </c>
      <c r="H12" s="177">
        <f t="shared" si="16"/>
        <v>0.1</v>
      </c>
      <c r="I12" s="177">
        <f t="shared" si="17"/>
        <v>0.4</v>
      </c>
      <c r="J12" s="177">
        <f t="shared" si="18"/>
        <v>0.7</v>
      </c>
      <c r="K12" s="178">
        <f t="shared" si="19"/>
        <v>1</v>
      </c>
      <c r="L12" s="179">
        <f ca="1" t="shared" si="0"/>
        <v>0.8372861483163432</v>
      </c>
      <c r="M12" s="180">
        <f t="shared" si="1"/>
        <v>0.13728614831634323</v>
      </c>
      <c r="N12" s="168">
        <f t="shared" si="2"/>
        <v>4</v>
      </c>
      <c r="O12" s="181">
        <f t="shared" si="3"/>
        <v>0</v>
      </c>
      <c r="P12" s="181">
        <f t="shared" si="4"/>
        <v>0</v>
      </c>
      <c r="Q12" s="181">
        <f t="shared" si="5"/>
        <v>0</v>
      </c>
      <c r="R12" s="181">
        <f t="shared" si="6"/>
        <v>0</v>
      </c>
      <c r="S12" s="182">
        <f t="shared" si="7"/>
        <v>0</v>
      </c>
      <c r="T12" s="183">
        <f t="shared" si="8"/>
        <v>0</v>
      </c>
      <c r="U12" s="184">
        <f t="shared" si="9"/>
        <v>0</v>
      </c>
    </row>
    <row r="13" spans="1:21" ht="15.75">
      <c r="A13" s="172">
        <v>9</v>
      </c>
      <c r="B13" s="173">
        <f t="shared" si="10"/>
        <v>0</v>
      </c>
      <c r="C13" s="174">
        <f t="shared" si="11"/>
        <v>0</v>
      </c>
      <c r="D13" s="174">
        <f t="shared" si="12"/>
        <v>0</v>
      </c>
      <c r="E13" s="174">
        <f t="shared" si="13"/>
        <v>0</v>
      </c>
      <c r="F13" s="175">
        <f t="shared" si="14"/>
        <v>0</v>
      </c>
      <c r="G13" s="176">
        <f t="shared" si="15"/>
        <v>0</v>
      </c>
      <c r="H13" s="177">
        <f t="shared" si="16"/>
        <v>0.1</v>
      </c>
      <c r="I13" s="177">
        <f t="shared" si="17"/>
        <v>0.4</v>
      </c>
      <c r="J13" s="177">
        <f t="shared" si="18"/>
        <v>0.7</v>
      </c>
      <c r="K13" s="178">
        <f t="shared" si="19"/>
        <v>1</v>
      </c>
      <c r="L13" s="179">
        <f ca="1" t="shared" si="0"/>
        <v>0.3411034806442146</v>
      </c>
      <c r="M13" s="180">
        <f t="shared" si="1"/>
        <v>0.24110348064421458</v>
      </c>
      <c r="N13" s="168">
        <f t="shared" si="2"/>
        <v>2</v>
      </c>
      <c r="O13" s="181">
        <f t="shared" si="3"/>
        <v>0</v>
      </c>
      <c r="P13" s="181">
        <f t="shared" si="4"/>
        <v>0</v>
      </c>
      <c r="Q13" s="181">
        <f t="shared" si="5"/>
        <v>0</v>
      </c>
      <c r="R13" s="181">
        <f t="shared" si="6"/>
        <v>0</v>
      </c>
      <c r="S13" s="182">
        <f t="shared" si="7"/>
        <v>0</v>
      </c>
      <c r="T13" s="183">
        <f t="shared" si="8"/>
        <v>0</v>
      </c>
      <c r="U13" s="184">
        <f t="shared" si="9"/>
        <v>0</v>
      </c>
    </row>
    <row r="14" spans="1:21" ht="15.75">
      <c r="A14" s="172">
        <v>10</v>
      </c>
      <c r="B14" s="173">
        <f t="shared" si="10"/>
        <v>0</v>
      </c>
      <c r="C14" s="174">
        <f t="shared" si="11"/>
        <v>0</v>
      </c>
      <c r="D14" s="174">
        <f t="shared" si="12"/>
        <v>0</v>
      </c>
      <c r="E14" s="174">
        <f t="shared" si="13"/>
        <v>0</v>
      </c>
      <c r="F14" s="175">
        <f t="shared" si="14"/>
        <v>0</v>
      </c>
      <c r="G14" s="176">
        <f t="shared" si="15"/>
        <v>0</v>
      </c>
      <c r="H14" s="177">
        <f t="shared" si="16"/>
        <v>0.1</v>
      </c>
      <c r="I14" s="177">
        <f t="shared" si="17"/>
        <v>0.4</v>
      </c>
      <c r="J14" s="177">
        <f t="shared" si="18"/>
        <v>0.7</v>
      </c>
      <c r="K14" s="178">
        <f t="shared" si="19"/>
        <v>1</v>
      </c>
      <c r="L14" s="179">
        <f ca="1" t="shared" si="0"/>
        <v>0.9568714860422274</v>
      </c>
      <c r="M14" s="180">
        <f t="shared" si="1"/>
        <v>0.2568714860422274</v>
      </c>
      <c r="N14" s="168">
        <f t="shared" si="2"/>
        <v>4</v>
      </c>
      <c r="O14" s="181">
        <f t="shared" si="3"/>
        <v>0</v>
      </c>
      <c r="P14" s="181">
        <f t="shared" si="4"/>
        <v>0</v>
      </c>
      <c r="Q14" s="181">
        <f t="shared" si="5"/>
        <v>0</v>
      </c>
      <c r="R14" s="181">
        <f t="shared" si="6"/>
        <v>0</v>
      </c>
      <c r="S14" s="182">
        <f t="shared" si="7"/>
        <v>0</v>
      </c>
      <c r="T14" s="183">
        <f t="shared" si="8"/>
        <v>0</v>
      </c>
      <c r="U14" s="184">
        <f t="shared" si="9"/>
        <v>0</v>
      </c>
    </row>
    <row r="15" spans="1:21" ht="15.75">
      <c r="A15" s="172">
        <v>11</v>
      </c>
      <c r="B15" s="173">
        <f t="shared" si="10"/>
        <v>0</v>
      </c>
      <c r="C15" s="174">
        <f t="shared" si="11"/>
        <v>0</v>
      </c>
      <c r="D15" s="174">
        <f t="shared" si="12"/>
        <v>0</v>
      </c>
      <c r="E15" s="174">
        <f t="shared" si="13"/>
        <v>0</v>
      </c>
      <c r="F15" s="175">
        <f t="shared" si="14"/>
        <v>0</v>
      </c>
      <c r="G15" s="176">
        <f t="shared" si="15"/>
        <v>0</v>
      </c>
      <c r="H15" s="177">
        <f t="shared" si="16"/>
        <v>0.1</v>
      </c>
      <c r="I15" s="177">
        <f t="shared" si="17"/>
        <v>0.4</v>
      </c>
      <c r="J15" s="177">
        <f t="shared" si="18"/>
        <v>0.7</v>
      </c>
      <c r="K15" s="178">
        <f t="shared" si="19"/>
        <v>1</v>
      </c>
      <c r="L15" s="179">
        <f ca="1" t="shared" si="0"/>
        <v>0.1878958518913001</v>
      </c>
      <c r="M15" s="180">
        <f t="shared" si="1"/>
        <v>0.08789585189130009</v>
      </c>
      <c r="N15" s="168">
        <f t="shared" si="2"/>
        <v>2</v>
      </c>
      <c r="O15" s="181">
        <f t="shared" si="3"/>
        <v>0</v>
      </c>
      <c r="P15" s="181">
        <f t="shared" si="4"/>
        <v>0</v>
      </c>
      <c r="Q15" s="181">
        <f t="shared" si="5"/>
        <v>0</v>
      </c>
      <c r="R15" s="181">
        <f t="shared" si="6"/>
        <v>0</v>
      </c>
      <c r="S15" s="182">
        <f t="shared" si="7"/>
        <v>0</v>
      </c>
      <c r="T15" s="183">
        <f t="shared" si="8"/>
        <v>0</v>
      </c>
      <c r="U15" s="184">
        <f t="shared" si="9"/>
        <v>0</v>
      </c>
    </row>
    <row r="16" spans="1:21" ht="15.75">
      <c r="A16" s="172">
        <v>12</v>
      </c>
      <c r="B16" s="173">
        <f t="shared" si="10"/>
        <v>0</v>
      </c>
      <c r="C16" s="174">
        <f t="shared" si="11"/>
        <v>0</v>
      </c>
      <c r="D16" s="174">
        <f t="shared" si="12"/>
        <v>0</v>
      </c>
      <c r="E16" s="174">
        <f t="shared" si="13"/>
        <v>0</v>
      </c>
      <c r="F16" s="175">
        <f t="shared" si="14"/>
        <v>0</v>
      </c>
      <c r="G16" s="176">
        <f t="shared" si="15"/>
        <v>0</v>
      </c>
      <c r="H16" s="177">
        <f t="shared" si="16"/>
        <v>0.1</v>
      </c>
      <c r="I16" s="177">
        <f t="shared" si="17"/>
        <v>0.4</v>
      </c>
      <c r="J16" s="177">
        <f t="shared" si="18"/>
        <v>0.7</v>
      </c>
      <c r="K16" s="178">
        <f t="shared" si="19"/>
        <v>1</v>
      </c>
      <c r="L16" s="179">
        <f ca="1" t="shared" si="0"/>
        <v>0.48169818095177064</v>
      </c>
      <c r="M16" s="180">
        <f t="shared" si="1"/>
        <v>0.08169818095177062</v>
      </c>
      <c r="N16" s="168">
        <f t="shared" si="2"/>
        <v>3</v>
      </c>
      <c r="O16" s="181">
        <f t="shared" si="3"/>
        <v>0</v>
      </c>
      <c r="P16" s="181">
        <f t="shared" si="4"/>
        <v>0</v>
      </c>
      <c r="Q16" s="181">
        <f t="shared" si="5"/>
        <v>0</v>
      </c>
      <c r="R16" s="181">
        <f t="shared" si="6"/>
        <v>0</v>
      </c>
      <c r="S16" s="182">
        <f t="shared" si="7"/>
        <v>0</v>
      </c>
      <c r="T16" s="183">
        <f t="shared" si="8"/>
        <v>0</v>
      </c>
      <c r="U16" s="184">
        <f t="shared" si="9"/>
        <v>0</v>
      </c>
    </row>
    <row r="17" spans="1:21" ht="15.75">
      <c r="A17" s="172">
        <v>13</v>
      </c>
      <c r="B17" s="173">
        <f t="shared" si="10"/>
        <v>0</v>
      </c>
      <c r="C17" s="174">
        <f t="shared" si="11"/>
        <v>0</v>
      </c>
      <c r="D17" s="174">
        <f t="shared" si="12"/>
        <v>0</v>
      </c>
      <c r="E17" s="174">
        <f t="shared" si="13"/>
        <v>0</v>
      </c>
      <c r="F17" s="175">
        <f t="shared" si="14"/>
        <v>0</v>
      </c>
      <c r="G17" s="176">
        <f t="shared" si="15"/>
        <v>0</v>
      </c>
      <c r="H17" s="177">
        <f t="shared" si="16"/>
        <v>0.1</v>
      </c>
      <c r="I17" s="177">
        <f t="shared" si="17"/>
        <v>0.4</v>
      </c>
      <c r="J17" s="177">
        <f t="shared" si="18"/>
        <v>0.7</v>
      </c>
      <c r="K17" s="178">
        <f t="shared" si="19"/>
        <v>1</v>
      </c>
      <c r="L17" s="179">
        <f ca="1" t="shared" si="0"/>
        <v>0.9010661752998523</v>
      </c>
      <c r="M17" s="180">
        <f t="shared" si="1"/>
        <v>0.20106617529985238</v>
      </c>
      <c r="N17" s="168">
        <f t="shared" si="2"/>
        <v>4</v>
      </c>
      <c r="O17" s="181">
        <f t="shared" si="3"/>
        <v>0</v>
      </c>
      <c r="P17" s="181">
        <f t="shared" si="4"/>
        <v>0</v>
      </c>
      <c r="Q17" s="181">
        <f t="shared" si="5"/>
        <v>0</v>
      </c>
      <c r="R17" s="181">
        <f t="shared" si="6"/>
        <v>0</v>
      </c>
      <c r="S17" s="182">
        <f t="shared" si="7"/>
        <v>0</v>
      </c>
      <c r="T17" s="183">
        <f t="shared" si="8"/>
        <v>0</v>
      </c>
      <c r="U17" s="184">
        <f t="shared" si="9"/>
        <v>0</v>
      </c>
    </row>
    <row r="18" spans="1:21" ht="15.75">
      <c r="A18" s="172">
        <v>14</v>
      </c>
      <c r="B18" s="173">
        <f t="shared" si="10"/>
        <v>0</v>
      </c>
      <c r="C18" s="174">
        <f t="shared" si="11"/>
        <v>0</v>
      </c>
      <c r="D18" s="174">
        <f t="shared" si="12"/>
        <v>0</v>
      </c>
      <c r="E18" s="174">
        <f t="shared" si="13"/>
        <v>0</v>
      </c>
      <c r="F18" s="175">
        <f t="shared" si="14"/>
        <v>0</v>
      </c>
      <c r="G18" s="176">
        <f t="shared" si="15"/>
        <v>0</v>
      </c>
      <c r="H18" s="177">
        <f t="shared" si="16"/>
        <v>0.1</v>
      </c>
      <c r="I18" s="177">
        <f t="shared" si="17"/>
        <v>0.4</v>
      </c>
      <c r="J18" s="177">
        <f t="shared" si="18"/>
        <v>0.7</v>
      </c>
      <c r="K18" s="178">
        <f t="shared" si="19"/>
        <v>1</v>
      </c>
      <c r="L18" s="179">
        <f ca="1" t="shared" si="0"/>
        <v>0.8671333687039509</v>
      </c>
      <c r="M18" s="180">
        <f t="shared" si="1"/>
        <v>0.1671333687039509</v>
      </c>
      <c r="N18" s="168">
        <f t="shared" si="2"/>
        <v>4</v>
      </c>
      <c r="O18" s="181">
        <f t="shared" si="3"/>
        <v>0</v>
      </c>
      <c r="P18" s="181">
        <f t="shared" si="4"/>
        <v>0</v>
      </c>
      <c r="Q18" s="181">
        <f t="shared" si="5"/>
        <v>0</v>
      </c>
      <c r="R18" s="181">
        <f t="shared" si="6"/>
        <v>0</v>
      </c>
      <c r="S18" s="182">
        <f t="shared" si="7"/>
        <v>0</v>
      </c>
      <c r="T18" s="183">
        <f t="shared" si="8"/>
        <v>0</v>
      </c>
      <c r="U18" s="184">
        <f t="shared" si="9"/>
        <v>0</v>
      </c>
    </row>
    <row r="19" spans="1:21" ht="15.75">
      <c r="A19" s="172">
        <v>15</v>
      </c>
      <c r="B19" s="173">
        <f t="shared" si="10"/>
        <v>0</v>
      </c>
      <c r="C19" s="174">
        <f t="shared" si="11"/>
        <v>0</v>
      </c>
      <c r="D19" s="174">
        <f t="shared" si="12"/>
        <v>0</v>
      </c>
      <c r="E19" s="174">
        <f t="shared" si="13"/>
        <v>0</v>
      </c>
      <c r="F19" s="175">
        <f t="shared" si="14"/>
        <v>0</v>
      </c>
      <c r="G19" s="176">
        <f t="shared" si="15"/>
        <v>0</v>
      </c>
      <c r="H19" s="177">
        <f t="shared" si="16"/>
        <v>0.1</v>
      </c>
      <c r="I19" s="177">
        <f t="shared" si="17"/>
        <v>0.4</v>
      </c>
      <c r="J19" s="177">
        <f t="shared" si="18"/>
        <v>0.7</v>
      </c>
      <c r="K19" s="178">
        <f t="shared" si="19"/>
        <v>1</v>
      </c>
      <c r="L19" s="179">
        <f ca="1" t="shared" si="0"/>
        <v>0.8374334992197738</v>
      </c>
      <c r="M19" s="180">
        <f t="shared" si="1"/>
        <v>0.13743349921977388</v>
      </c>
      <c r="N19" s="168">
        <f t="shared" si="2"/>
        <v>4</v>
      </c>
      <c r="O19" s="181">
        <f t="shared" si="3"/>
        <v>0</v>
      </c>
      <c r="P19" s="181">
        <f t="shared" si="4"/>
        <v>0</v>
      </c>
      <c r="Q19" s="181">
        <f t="shared" si="5"/>
        <v>0</v>
      </c>
      <c r="R19" s="181">
        <f t="shared" si="6"/>
        <v>0</v>
      </c>
      <c r="S19" s="182">
        <f t="shared" si="7"/>
        <v>0</v>
      </c>
      <c r="T19" s="183">
        <f t="shared" si="8"/>
        <v>0</v>
      </c>
      <c r="U19" s="184">
        <f t="shared" si="9"/>
        <v>0</v>
      </c>
    </row>
    <row r="20" spans="1:21" ht="15.75">
      <c r="A20" s="172">
        <v>16</v>
      </c>
      <c r="B20" s="173">
        <f t="shared" si="10"/>
        <v>0</v>
      </c>
      <c r="C20" s="174">
        <f t="shared" si="11"/>
        <v>0</v>
      </c>
      <c r="D20" s="174">
        <f t="shared" si="12"/>
        <v>0</v>
      </c>
      <c r="E20" s="174">
        <f t="shared" si="13"/>
        <v>0</v>
      </c>
      <c r="F20" s="175">
        <f t="shared" si="14"/>
        <v>0</v>
      </c>
      <c r="G20" s="176">
        <f t="shared" si="15"/>
        <v>0</v>
      </c>
      <c r="H20" s="177">
        <f t="shared" si="16"/>
        <v>0.1</v>
      </c>
      <c r="I20" s="177">
        <f t="shared" si="17"/>
        <v>0.4</v>
      </c>
      <c r="J20" s="177">
        <f t="shared" si="18"/>
        <v>0.7</v>
      </c>
      <c r="K20" s="178">
        <f t="shared" si="19"/>
        <v>1</v>
      </c>
      <c r="L20" s="179">
        <f ca="1" t="shared" si="0"/>
        <v>0.8854126345618516</v>
      </c>
      <c r="M20" s="180">
        <f t="shared" si="1"/>
        <v>0.18541263456185164</v>
      </c>
      <c r="N20" s="168">
        <f t="shared" si="2"/>
        <v>4</v>
      </c>
      <c r="O20" s="181">
        <f t="shared" si="3"/>
        <v>0</v>
      </c>
      <c r="P20" s="181">
        <f t="shared" si="4"/>
        <v>0</v>
      </c>
      <c r="Q20" s="181">
        <f t="shared" si="5"/>
        <v>0</v>
      </c>
      <c r="R20" s="181">
        <f t="shared" si="6"/>
        <v>0</v>
      </c>
      <c r="S20" s="182">
        <f t="shared" si="7"/>
        <v>0</v>
      </c>
      <c r="T20" s="183">
        <f t="shared" si="8"/>
        <v>0</v>
      </c>
      <c r="U20" s="184">
        <f t="shared" si="9"/>
        <v>0</v>
      </c>
    </row>
    <row r="21" spans="1:21" ht="15.75">
      <c r="A21" s="172">
        <v>17</v>
      </c>
      <c r="B21" s="173">
        <f t="shared" si="10"/>
        <v>0</v>
      </c>
      <c r="C21" s="174">
        <f t="shared" si="11"/>
        <v>0</v>
      </c>
      <c r="D21" s="174">
        <f t="shared" si="12"/>
        <v>0</v>
      </c>
      <c r="E21" s="174">
        <f t="shared" si="13"/>
        <v>0</v>
      </c>
      <c r="F21" s="175">
        <f t="shared" si="14"/>
        <v>0</v>
      </c>
      <c r="G21" s="176">
        <f t="shared" si="15"/>
        <v>0</v>
      </c>
      <c r="H21" s="177">
        <f t="shared" si="16"/>
        <v>0.1</v>
      </c>
      <c r="I21" s="177">
        <f t="shared" si="17"/>
        <v>0.4</v>
      </c>
      <c r="J21" s="177">
        <f t="shared" si="18"/>
        <v>0.7</v>
      </c>
      <c r="K21" s="178">
        <f t="shared" si="19"/>
        <v>1</v>
      </c>
      <c r="L21" s="179">
        <f ca="1" t="shared" si="0"/>
        <v>0.8143189863035885</v>
      </c>
      <c r="M21" s="180">
        <f t="shared" si="1"/>
        <v>0.1143189863035885</v>
      </c>
      <c r="N21" s="168">
        <f t="shared" si="2"/>
        <v>4</v>
      </c>
      <c r="O21" s="181">
        <f t="shared" si="3"/>
        <v>0</v>
      </c>
      <c r="P21" s="181">
        <f t="shared" si="4"/>
        <v>0</v>
      </c>
      <c r="Q21" s="181">
        <f t="shared" si="5"/>
        <v>0</v>
      </c>
      <c r="R21" s="181">
        <f t="shared" si="6"/>
        <v>0</v>
      </c>
      <c r="S21" s="182">
        <f t="shared" si="7"/>
        <v>0</v>
      </c>
      <c r="T21" s="183">
        <f t="shared" si="8"/>
        <v>0</v>
      </c>
      <c r="U21" s="184">
        <f t="shared" si="9"/>
        <v>0</v>
      </c>
    </row>
    <row r="22" spans="1:21" ht="15.75">
      <c r="A22" s="172">
        <v>18</v>
      </c>
      <c r="B22" s="173">
        <f t="shared" si="10"/>
        <v>0</v>
      </c>
      <c r="C22" s="174">
        <f t="shared" si="11"/>
        <v>0</v>
      </c>
      <c r="D22" s="174">
        <f t="shared" si="12"/>
        <v>0</v>
      </c>
      <c r="E22" s="174">
        <f t="shared" si="13"/>
        <v>0</v>
      </c>
      <c r="F22" s="175">
        <f t="shared" si="14"/>
        <v>0</v>
      </c>
      <c r="G22" s="176">
        <f t="shared" si="15"/>
        <v>0</v>
      </c>
      <c r="H22" s="177">
        <f t="shared" si="16"/>
        <v>0.1</v>
      </c>
      <c r="I22" s="177">
        <f t="shared" si="17"/>
        <v>0.4</v>
      </c>
      <c r="J22" s="177">
        <f t="shared" si="18"/>
        <v>0.7</v>
      </c>
      <c r="K22" s="178">
        <f t="shared" si="19"/>
        <v>1</v>
      </c>
      <c r="L22" s="179">
        <f ca="1" t="shared" si="0"/>
        <v>0.31416012133699667</v>
      </c>
      <c r="M22" s="180">
        <f t="shared" si="1"/>
        <v>0.21416012133699666</v>
      </c>
      <c r="N22" s="168">
        <f t="shared" si="2"/>
        <v>2</v>
      </c>
      <c r="O22" s="181">
        <f t="shared" si="3"/>
        <v>0</v>
      </c>
      <c r="P22" s="181">
        <f t="shared" si="4"/>
        <v>0</v>
      </c>
      <c r="Q22" s="181">
        <f t="shared" si="5"/>
        <v>0</v>
      </c>
      <c r="R22" s="181">
        <f t="shared" si="6"/>
        <v>0</v>
      </c>
      <c r="S22" s="182">
        <f t="shared" si="7"/>
        <v>0</v>
      </c>
      <c r="T22" s="183">
        <f t="shared" si="8"/>
        <v>0</v>
      </c>
      <c r="U22" s="184">
        <f t="shared" si="9"/>
        <v>0</v>
      </c>
    </row>
    <row r="23" spans="1:21" ht="15.75">
      <c r="A23" s="172">
        <v>19</v>
      </c>
      <c r="B23" s="173">
        <f t="shared" si="10"/>
        <v>0</v>
      </c>
      <c r="C23" s="174">
        <f t="shared" si="11"/>
        <v>0</v>
      </c>
      <c r="D23" s="174">
        <f t="shared" si="12"/>
        <v>0</v>
      </c>
      <c r="E23" s="174">
        <f t="shared" si="13"/>
        <v>0</v>
      </c>
      <c r="F23" s="175">
        <f t="shared" si="14"/>
        <v>0</v>
      </c>
      <c r="G23" s="176">
        <f t="shared" si="15"/>
        <v>0</v>
      </c>
      <c r="H23" s="177">
        <f t="shared" si="16"/>
        <v>0.1</v>
      </c>
      <c r="I23" s="177">
        <f t="shared" si="17"/>
        <v>0.4</v>
      </c>
      <c r="J23" s="177">
        <f t="shared" si="18"/>
        <v>0.7</v>
      </c>
      <c r="K23" s="178">
        <f t="shared" si="19"/>
        <v>1</v>
      </c>
      <c r="L23" s="179">
        <f ca="1" t="shared" si="0"/>
        <v>0.22245540879055437</v>
      </c>
      <c r="M23" s="180">
        <f t="shared" si="1"/>
        <v>0.12245540879055436</v>
      </c>
      <c r="N23" s="168">
        <f t="shared" si="2"/>
        <v>2</v>
      </c>
      <c r="O23" s="181">
        <f t="shared" si="3"/>
        <v>0</v>
      </c>
      <c r="P23" s="181">
        <f t="shared" si="4"/>
        <v>0</v>
      </c>
      <c r="Q23" s="181">
        <f t="shared" si="5"/>
        <v>0</v>
      </c>
      <c r="R23" s="181">
        <f t="shared" si="6"/>
        <v>0</v>
      </c>
      <c r="S23" s="182">
        <f t="shared" si="7"/>
        <v>0</v>
      </c>
      <c r="T23" s="183">
        <f t="shared" si="8"/>
        <v>0</v>
      </c>
      <c r="U23" s="184">
        <f t="shared" si="9"/>
        <v>0</v>
      </c>
    </row>
    <row r="24" spans="1:21" ht="16.5" thickBot="1">
      <c r="A24" s="185">
        <v>20</v>
      </c>
      <c r="B24" s="186">
        <f t="shared" si="10"/>
        <v>0</v>
      </c>
      <c r="C24" s="187">
        <f t="shared" si="11"/>
        <v>0</v>
      </c>
      <c r="D24" s="187">
        <f t="shared" si="12"/>
        <v>0</v>
      </c>
      <c r="E24" s="187">
        <f t="shared" si="13"/>
        <v>0</v>
      </c>
      <c r="F24" s="188">
        <f t="shared" si="14"/>
        <v>0</v>
      </c>
      <c r="G24" s="189">
        <f t="shared" si="15"/>
        <v>0</v>
      </c>
      <c r="H24" s="190">
        <f t="shared" si="16"/>
        <v>0.1</v>
      </c>
      <c r="I24" s="190">
        <f t="shared" si="17"/>
        <v>0.4</v>
      </c>
      <c r="J24" s="190">
        <f t="shared" si="18"/>
        <v>0.7</v>
      </c>
      <c r="K24" s="191">
        <f t="shared" si="19"/>
        <v>1</v>
      </c>
      <c r="L24" s="192">
        <f ca="1" t="shared" si="0"/>
        <v>0.4024984411618482</v>
      </c>
      <c r="M24" s="193">
        <f t="shared" si="1"/>
        <v>0.002498441161848164</v>
      </c>
      <c r="N24" s="194">
        <f t="shared" si="2"/>
        <v>3</v>
      </c>
      <c r="O24" s="195">
        <f t="shared" si="3"/>
        <v>0</v>
      </c>
      <c r="P24" s="195">
        <f t="shared" si="4"/>
        <v>0</v>
      </c>
      <c r="Q24" s="195">
        <f t="shared" si="5"/>
        <v>0</v>
      </c>
      <c r="R24" s="195">
        <f t="shared" si="6"/>
        <v>0</v>
      </c>
      <c r="S24" s="196">
        <f t="shared" si="7"/>
        <v>0</v>
      </c>
      <c r="T24" s="197">
        <f t="shared" si="8"/>
        <v>0</v>
      </c>
      <c r="U24" s="198">
        <f t="shared" si="9"/>
        <v>0</v>
      </c>
    </row>
    <row r="25" spans="11:21" ht="16.5" thickBot="1">
      <c r="K25" s="136" t="s">
        <v>198</v>
      </c>
      <c r="L25" s="137"/>
      <c r="M25" s="137"/>
      <c r="N25" s="137"/>
      <c r="O25" s="137"/>
      <c r="P25" s="137"/>
      <c r="Q25" s="137"/>
      <c r="R25" s="137"/>
      <c r="S25" s="137"/>
      <c r="T25" s="137"/>
      <c r="U25" s="199">
        <f>NPV(DCF!B3,U5:U24)</f>
        <v>0</v>
      </c>
    </row>
    <row r="26" spans="11:21" ht="16.5" thickBot="1">
      <c r="K26" s="139" t="s">
        <v>199</v>
      </c>
      <c r="L26" s="140"/>
      <c r="M26" s="140"/>
      <c r="N26" s="140"/>
      <c r="O26" s="140"/>
      <c r="P26" s="140"/>
      <c r="Q26" s="140"/>
      <c r="R26" s="140"/>
      <c r="S26" s="140"/>
      <c r="T26" s="140"/>
      <c r="U26" s="200">
        <f>-(PMT(DCF!B3,20,U25))</f>
        <v>0</v>
      </c>
    </row>
  </sheetData>
  <sheetProtection/>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26"/>
  <dimension ref="A1:E2481"/>
  <sheetViews>
    <sheetView showGridLines="0" zoomScalePageLayoutView="0" workbookViewId="0" topLeftCell="A1">
      <selection activeCell="A1" sqref="A1"/>
    </sheetView>
  </sheetViews>
  <sheetFormatPr defaultColWidth="9.140625" defaultRowHeight="12.75"/>
  <cols>
    <col min="1" max="1" width="13.28125" style="204" customWidth="1"/>
    <col min="2" max="2" width="12.57421875" style="202" customWidth="1"/>
    <col min="3" max="3" width="1.57421875" style="202" customWidth="1"/>
    <col min="4" max="4" width="5.7109375" style="202" bestFit="1" customWidth="1"/>
    <col min="5" max="5" width="11.8515625" style="202" customWidth="1"/>
    <col min="6" max="16384" width="9.140625" style="202" customWidth="1"/>
  </cols>
  <sheetData>
    <row r="1" spans="1:2" ht="15.75">
      <c r="A1" s="201" t="s">
        <v>201</v>
      </c>
      <c r="B1" s="11">
        <v>0</v>
      </c>
    </row>
    <row r="2" spans="1:2" ht="15.75">
      <c r="A2" s="201" t="s">
        <v>202</v>
      </c>
      <c r="B2" s="8">
        <f>'Risk Analysis'!E30</f>
        <v>0</v>
      </c>
    </row>
    <row r="3" spans="1:2" ht="15.75">
      <c r="A3" s="201" t="s">
        <v>203</v>
      </c>
      <c r="B3" s="203"/>
    </row>
    <row r="4" spans="1:2" ht="15.75">
      <c r="A4" s="201" t="s">
        <v>163</v>
      </c>
      <c r="B4" s="8">
        <f>AVERAGE(B9:B2008)</f>
        <v>0</v>
      </c>
    </row>
    <row r="5" spans="1:2" ht="15.75">
      <c r="A5" s="201" t="s">
        <v>204</v>
      </c>
      <c r="B5" s="8">
        <f>MAX(B9:B2008)</f>
        <v>0</v>
      </c>
    </row>
    <row r="6" spans="1:2" ht="15.75">
      <c r="A6" s="201" t="s">
        <v>205</v>
      </c>
      <c r="B6" s="8">
        <f>MIN(B9:B2008)</f>
        <v>0</v>
      </c>
    </row>
    <row r="7" spans="1:2" ht="15.75">
      <c r="A7" s="201"/>
      <c r="B7" s="8"/>
    </row>
    <row r="8" spans="2:5" ht="15.75">
      <c r="B8" s="8" t="s">
        <v>206</v>
      </c>
      <c r="D8" s="205" t="s">
        <v>207</v>
      </c>
      <c r="E8" s="206"/>
    </row>
    <row r="9" spans="1:5" ht="12.75">
      <c r="A9" s="204">
        <v>1</v>
      </c>
      <c r="B9" s="207">
        <v>0</v>
      </c>
      <c r="D9" s="208">
        <v>0</v>
      </c>
      <c r="E9" s="209">
        <f>B6</f>
        <v>0</v>
      </c>
    </row>
    <row r="10" spans="1:5" ht="12.75">
      <c r="A10" s="204">
        <v>2</v>
      </c>
      <c r="B10" s="207">
        <v>0</v>
      </c>
      <c r="D10" s="208">
        <v>0.01</v>
      </c>
      <c r="E10" s="209">
        <f aca="true" t="shared" si="0" ref="E10:E41">PERCENTILE($B$9:$B$2481,D10)</f>
        <v>0</v>
      </c>
    </row>
    <row r="11" spans="1:5" ht="12.75">
      <c r="A11" s="204">
        <v>3</v>
      </c>
      <c r="B11" s="207">
        <v>0</v>
      </c>
      <c r="D11" s="208">
        <v>0.02</v>
      </c>
      <c r="E11" s="209">
        <f t="shared" si="0"/>
        <v>0</v>
      </c>
    </row>
    <row r="12" spans="1:5" ht="12.75">
      <c r="A12" s="204">
        <v>4</v>
      </c>
      <c r="B12" s="207">
        <v>0</v>
      </c>
      <c r="D12" s="208">
        <v>0.03</v>
      </c>
      <c r="E12" s="209">
        <f t="shared" si="0"/>
        <v>0</v>
      </c>
    </row>
    <row r="13" spans="1:5" ht="12.75">
      <c r="A13" s="204">
        <v>5</v>
      </c>
      <c r="B13" s="207">
        <v>0</v>
      </c>
      <c r="D13" s="208">
        <v>0.04</v>
      </c>
      <c r="E13" s="209">
        <f t="shared" si="0"/>
        <v>0</v>
      </c>
    </row>
    <row r="14" spans="1:5" ht="12.75">
      <c r="A14" s="204">
        <v>6</v>
      </c>
      <c r="B14" s="207">
        <v>0</v>
      </c>
      <c r="D14" s="208">
        <v>0.05</v>
      </c>
      <c r="E14" s="209">
        <f t="shared" si="0"/>
        <v>0</v>
      </c>
    </row>
    <row r="15" spans="1:5" ht="12.75">
      <c r="A15" s="204">
        <v>7</v>
      </c>
      <c r="B15" s="207">
        <v>0</v>
      </c>
      <c r="D15" s="208">
        <v>0.06</v>
      </c>
      <c r="E15" s="209">
        <f t="shared" si="0"/>
        <v>0</v>
      </c>
    </row>
    <row r="16" spans="1:5" ht="12.75">
      <c r="A16" s="204">
        <v>8</v>
      </c>
      <c r="B16" s="207">
        <v>0</v>
      </c>
      <c r="D16" s="208">
        <v>0.07</v>
      </c>
      <c r="E16" s="209">
        <f t="shared" si="0"/>
        <v>0</v>
      </c>
    </row>
    <row r="17" spans="1:5" ht="12.75">
      <c r="A17" s="204">
        <v>9</v>
      </c>
      <c r="B17" s="207">
        <v>0</v>
      </c>
      <c r="D17" s="208">
        <v>0.08</v>
      </c>
      <c r="E17" s="209">
        <f t="shared" si="0"/>
        <v>0</v>
      </c>
    </row>
    <row r="18" spans="1:5" ht="12.75">
      <c r="A18" s="204">
        <v>10</v>
      </c>
      <c r="B18" s="207">
        <v>0</v>
      </c>
      <c r="D18" s="208">
        <v>0.09</v>
      </c>
      <c r="E18" s="209">
        <f t="shared" si="0"/>
        <v>0</v>
      </c>
    </row>
    <row r="19" spans="1:5" ht="12.75">
      <c r="A19" s="204">
        <v>11</v>
      </c>
      <c r="B19" s="207">
        <v>0</v>
      </c>
      <c r="D19" s="208">
        <v>0.1</v>
      </c>
      <c r="E19" s="209">
        <f t="shared" si="0"/>
        <v>0</v>
      </c>
    </row>
    <row r="20" spans="1:5" ht="12.75">
      <c r="A20" s="204">
        <v>12</v>
      </c>
      <c r="B20" s="207">
        <v>0</v>
      </c>
      <c r="D20" s="208">
        <v>0.11</v>
      </c>
      <c r="E20" s="209">
        <f t="shared" si="0"/>
        <v>0</v>
      </c>
    </row>
    <row r="21" spans="1:5" ht="12.75">
      <c r="A21" s="204">
        <v>13</v>
      </c>
      <c r="B21" s="207">
        <v>0</v>
      </c>
      <c r="D21" s="208">
        <v>0.12</v>
      </c>
      <c r="E21" s="209">
        <f t="shared" si="0"/>
        <v>0</v>
      </c>
    </row>
    <row r="22" spans="1:5" ht="12.75">
      <c r="A22" s="204">
        <v>14</v>
      </c>
      <c r="B22" s="207">
        <v>0</v>
      </c>
      <c r="D22" s="208">
        <v>0.13</v>
      </c>
      <c r="E22" s="209">
        <f t="shared" si="0"/>
        <v>0</v>
      </c>
    </row>
    <row r="23" spans="1:5" ht="12.75">
      <c r="A23" s="204">
        <v>15</v>
      </c>
      <c r="B23" s="207">
        <v>0</v>
      </c>
      <c r="D23" s="208">
        <v>0.14</v>
      </c>
      <c r="E23" s="209">
        <f t="shared" si="0"/>
        <v>0</v>
      </c>
    </row>
    <row r="24" spans="1:5" ht="12.75">
      <c r="A24" s="204">
        <v>16</v>
      </c>
      <c r="B24" s="207">
        <v>0</v>
      </c>
      <c r="D24" s="208">
        <v>0.15</v>
      </c>
      <c r="E24" s="209">
        <f t="shared" si="0"/>
        <v>0</v>
      </c>
    </row>
    <row r="25" spans="1:5" ht="12.75">
      <c r="A25" s="204">
        <v>17</v>
      </c>
      <c r="B25" s="207">
        <v>0</v>
      </c>
      <c r="D25" s="208">
        <v>0.16</v>
      </c>
      <c r="E25" s="209">
        <f t="shared" si="0"/>
        <v>0</v>
      </c>
    </row>
    <row r="26" spans="1:5" ht="12.75">
      <c r="A26" s="204">
        <v>18</v>
      </c>
      <c r="B26" s="207">
        <v>0</v>
      </c>
      <c r="D26" s="208">
        <v>0.17</v>
      </c>
      <c r="E26" s="209">
        <f t="shared" si="0"/>
        <v>0</v>
      </c>
    </row>
    <row r="27" spans="1:5" ht="12.75">
      <c r="A27" s="204">
        <v>19</v>
      </c>
      <c r="B27" s="207">
        <v>0</v>
      </c>
      <c r="D27" s="208">
        <v>0.18</v>
      </c>
      <c r="E27" s="209">
        <f t="shared" si="0"/>
        <v>0</v>
      </c>
    </row>
    <row r="28" spans="1:5" ht="12.75">
      <c r="A28" s="204">
        <v>20</v>
      </c>
      <c r="B28" s="207">
        <v>0</v>
      </c>
      <c r="D28" s="208">
        <v>0.19</v>
      </c>
      <c r="E28" s="209">
        <f t="shared" si="0"/>
        <v>0</v>
      </c>
    </row>
    <row r="29" spans="1:5" ht="12.75">
      <c r="A29" s="204">
        <v>21</v>
      </c>
      <c r="B29" s="207">
        <v>0</v>
      </c>
      <c r="D29" s="208">
        <v>0.2</v>
      </c>
      <c r="E29" s="209">
        <f t="shared" si="0"/>
        <v>0</v>
      </c>
    </row>
    <row r="30" spans="1:5" ht="12.75">
      <c r="A30" s="204">
        <v>22</v>
      </c>
      <c r="B30" s="207">
        <v>0</v>
      </c>
      <c r="D30" s="208">
        <v>0.21</v>
      </c>
      <c r="E30" s="209">
        <f t="shared" si="0"/>
        <v>0</v>
      </c>
    </row>
    <row r="31" spans="1:5" ht="12.75">
      <c r="A31" s="204">
        <v>23</v>
      </c>
      <c r="B31" s="207">
        <v>0</v>
      </c>
      <c r="D31" s="208">
        <v>0.22</v>
      </c>
      <c r="E31" s="209">
        <f t="shared" si="0"/>
        <v>0</v>
      </c>
    </row>
    <row r="32" spans="1:5" ht="12.75">
      <c r="A32" s="204">
        <v>24</v>
      </c>
      <c r="B32" s="207">
        <v>0</v>
      </c>
      <c r="D32" s="208">
        <v>0.23</v>
      </c>
      <c r="E32" s="209">
        <f t="shared" si="0"/>
        <v>0</v>
      </c>
    </row>
    <row r="33" spans="1:5" ht="12.75">
      <c r="A33" s="204">
        <v>25</v>
      </c>
      <c r="B33" s="207">
        <v>0</v>
      </c>
      <c r="D33" s="208">
        <v>0.24</v>
      </c>
      <c r="E33" s="209">
        <f t="shared" si="0"/>
        <v>0</v>
      </c>
    </row>
    <row r="34" spans="1:5" ht="12.75">
      <c r="A34" s="204">
        <v>26</v>
      </c>
      <c r="B34" s="207">
        <v>0</v>
      </c>
      <c r="D34" s="208">
        <v>0.25</v>
      </c>
      <c r="E34" s="209">
        <f t="shared" si="0"/>
        <v>0</v>
      </c>
    </row>
    <row r="35" spans="1:5" ht="12.75">
      <c r="A35" s="204">
        <v>27</v>
      </c>
      <c r="B35" s="207">
        <v>0</v>
      </c>
      <c r="D35" s="208">
        <v>0.26</v>
      </c>
      <c r="E35" s="209">
        <f t="shared" si="0"/>
        <v>0</v>
      </c>
    </row>
    <row r="36" spans="1:5" ht="12.75">
      <c r="A36" s="204">
        <v>28</v>
      </c>
      <c r="B36" s="207">
        <v>0</v>
      </c>
      <c r="D36" s="208">
        <v>0.27</v>
      </c>
      <c r="E36" s="209">
        <f t="shared" si="0"/>
        <v>0</v>
      </c>
    </row>
    <row r="37" spans="1:5" ht="12.75">
      <c r="A37" s="204">
        <v>29</v>
      </c>
      <c r="B37" s="207">
        <v>0</v>
      </c>
      <c r="D37" s="208">
        <v>0.28</v>
      </c>
      <c r="E37" s="209">
        <f t="shared" si="0"/>
        <v>0</v>
      </c>
    </row>
    <row r="38" spans="1:5" ht="12.75">
      <c r="A38" s="204">
        <v>30</v>
      </c>
      <c r="B38" s="207">
        <v>0</v>
      </c>
      <c r="D38" s="208">
        <v>0.29</v>
      </c>
      <c r="E38" s="209">
        <f t="shared" si="0"/>
        <v>0</v>
      </c>
    </row>
    <row r="39" spans="1:5" ht="12.75">
      <c r="A39" s="204">
        <v>31</v>
      </c>
      <c r="B39" s="207">
        <v>0</v>
      </c>
      <c r="D39" s="208">
        <v>0.3</v>
      </c>
      <c r="E39" s="209">
        <f t="shared" si="0"/>
        <v>0</v>
      </c>
    </row>
    <row r="40" spans="1:5" ht="12.75">
      <c r="A40" s="204">
        <v>32</v>
      </c>
      <c r="B40" s="207">
        <v>0</v>
      </c>
      <c r="D40" s="208">
        <v>0.31</v>
      </c>
      <c r="E40" s="209">
        <f t="shared" si="0"/>
        <v>0</v>
      </c>
    </row>
    <row r="41" spans="1:5" ht="12.75">
      <c r="A41" s="204">
        <v>33</v>
      </c>
      <c r="B41" s="207">
        <v>0</v>
      </c>
      <c r="D41" s="208">
        <v>0.32</v>
      </c>
      <c r="E41" s="209">
        <f t="shared" si="0"/>
        <v>0</v>
      </c>
    </row>
    <row r="42" spans="1:5" ht="12.75">
      <c r="A42" s="204">
        <v>34</v>
      </c>
      <c r="B42" s="207">
        <v>0</v>
      </c>
      <c r="D42" s="208">
        <v>0.33</v>
      </c>
      <c r="E42" s="209">
        <f aca="true" t="shared" si="1" ref="E42:E73">PERCENTILE($B$9:$B$2481,D42)</f>
        <v>0</v>
      </c>
    </row>
    <row r="43" spans="1:5" ht="12.75">
      <c r="A43" s="204">
        <v>35</v>
      </c>
      <c r="B43" s="207">
        <v>0</v>
      </c>
      <c r="D43" s="208">
        <v>0.34</v>
      </c>
      <c r="E43" s="209">
        <f t="shared" si="1"/>
        <v>0</v>
      </c>
    </row>
    <row r="44" spans="1:5" ht="12.75">
      <c r="A44" s="204">
        <v>36</v>
      </c>
      <c r="B44" s="207">
        <v>0</v>
      </c>
      <c r="D44" s="208">
        <v>0.35</v>
      </c>
      <c r="E44" s="209">
        <f t="shared" si="1"/>
        <v>0</v>
      </c>
    </row>
    <row r="45" spans="1:5" ht="12.75">
      <c r="A45" s="204">
        <v>37</v>
      </c>
      <c r="B45" s="207">
        <v>0</v>
      </c>
      <c r="D45" s="208">
        <v>0.36</v>
      </c>
      <c r="E45" s="209">
        <f t="shared" si="1"/>
        <v>0</v>
      </c>
    </row>
    <row r="46" spans="1:5" ht="12.75">
      <c r="A46" s="204">
        <v>38</v>
      </c>
      <c r="B46" s="207">
        <v>0</v>
      </c>
      <c r="D46" s="208">
        <v>0.37</v>
      </c>
      <c r="E46" s="209">
        <f t="shared" si="1"/>
        <v>0</v>
      </c>
    </row>
    <row r="47" spans="1:5" ht="12.75">
      <c r="A47" s="204">
        <v>39</v>
      </c>
      <c r="B47" s="207">
        <v>0</v>
      </c>
      <c r="D47" s="208">
        <v>0.38</v>
      </c>
      <c r="E47" s="209">
        <f t="shared" si="1"/>
        <v>0</v>
      </c>
    </row>
    <row r="48" spans="1:5" ht="12.75">
      <c r="A48" s="204">
        <v>40</v>
      </c>
      <c r="B48" s="207">
        <v>0</v>
      </c>
      <c r="D48" s="208">
        <v>0.39</v>
      </c>
      <c r="E48" s="209">
        <f t="shared" si="1"/>
        <v>0</v>
      </c>
    </row>
    <row r="49" spans="1:5" ht="12.75">
      <c r="A49" s="204">
        <v>41</v>
      </c>
      <c r="B49" s="207">
        <v>0</v>
      </c>
      <c r="D49" s="208">
        <v>0.4</v>
      </c>
      <c r="E49" s="209">
        <f t="shared" si="1"/>
        <v>0</v>
      </c>
    </row>
    <row r="50" spans="1:5" ht="12.75">
      <c r="A50" s="204">
        <v>42</v>
      </c>
      <c r="B50" s="207">
        <v>0</v>
      </c>
      <c r="D50" s="208">
        <v>0.41</v>
      </c>
      <c r="E50" s="209">
        <f t="shared" si="1"/>
        <v>0</v>
      </c>
    </row>
    <row r="51" spans="1:5" ht="12.75">
      <c r="A51" s="204">
        <v>43</v>
      </c>
      <c r="B51" s="207">
        <v>0</v>
      </c>
      <c r="D51" s="208">
        <v>0.42</v>
      </c>
      <c r="E51" s="209">
        <f t="shared" si="1"/>
        <v>0</v>
      </c>
    </row>
    <row r="52" spans="1:5" ht="12.75">
      <c r="A52" s="204">
        <v>44</v>
      </c>
      <c r="B52" s="207">
        <v>0</v>
      </c>
      <c r="D52" s="208">
        <v>0.43</v>
      </c>
      <c r="E52" s="209">
        <f t="shared" si="1"/>
        <v>0</v>
      </c>
    </row>
    <row r="53" spans="1:5" ht="12.75">
      <c r="A53" s="204">
        <v>45</v>
      </c>
      <c r="B53" s="207">
        <v>0</v>
      </c>
      <c r="D53" s="208">
        <v>0.44</v>
      </c>
      <c r="E53" s="209">
        <f t="shared" si="1"/>
        <v>0</v>
      </c>
    </row>
    <row r="54" spans="1:5" ht="12.75">
      <c r="A54" s="204">
        <v>46</v>
      </c>
      <c r="B54" s="207">
        <v>0</v>
      </c>
      <c r="D54" s="208">
        <v>0.45</v>
      </c>
      <c r="E54" s="209">
        <f t="shared" si="1"/>
        <v>0</v>
      </c>
    </row>
    <row r="55" spans="1:5" ht="12.75">
      <c r="A55" s="204">
        <v>47</v>
      </c>
      <c r="B55" s="207">
        <v>0</v>
      </c>
      <c r="D55" s="208">
        <v>0.46</v>
      </c>
      <c r="E55" s="209">
        <f t="shared" si="1"/>
        <v>0</v>
      </c>
    </row>
    <row r="56" spans="1:5" ht="12.75">
      <c r="A56" s="204">
        <v>48</v>
      </c>
      <c r="B56" s="207">
        <v>0</v>
      </c>
      <c r="D56" s="208">
        <v>0.47</v>
      </c>
      <c r="E56" s="209">
        <f t="shared" si="1"/>
        <v>0</v>
      </c>
    </row>
    <row r="57" spans="1:5" ht="12.75">
      <c r="A57" s="204">
        <v>49</v>
      </c>
      <c r="B57" s="207">
        <v>0</v>
      </c>
      <c r="D57" s="208">
        <v>0.48</v>
      </c>
      <c r="E57" s="209">
        <f t="shared" si="1"/>
        <v>0</v>
      </c>
    </row>
    <row r="58" spans="1:5" ht="12.75">
      <c r="A58" s="204">
        <v>50</v>
      </c>
      <c r="B58" s="207">
        <v>0</v>
      </c>
      <c r="D58" s="208">
        <v>0.49</v>
      </c>
      <c r="E58" s="209">
        <f t="shared" si="1"/>
        <v>0</v>
      </c>
    </row>
    <row r="59" spans="1:5" ht="12.75">
      <c r="A59" s="204">
        <v>51</v>
      </c>
      <c r="B59" s="207">
        <v>0</v>
      </c>
      <c r="D59" s="208">
        <v>0.5</v>
      </c>
      <c r="E59" s="209">
        <f t="shared" si="1"/>
        <v>0</v>
      </c>
    </row>
    <row r="60" spans="1:5" ht="12.75">
      <c r="A60" s="204">
        <v>52</v>
      </c>
      <c r="B60" s="207">
        <v>0</v>
      </c>
      <c r="D60" s="208">
        <v>0.51</v>
      </c>
      <c r="E60" s="209">
        <f t="shared" si="1"/>
        <v>0</v>
      </c>
    </row>
    <row r="61" spans="1:5" ht="12.75">
      <c r="A61" s="204">
        <v>53</v>
      </c>
      <c r="B61" s="207">
        <v>0</v>
      </c>
      <c r="D61" s="208">
        <v>0.52</v>
      </c>
      <c r="E61" s="209">
        <f t="shared" si="1"/>
        <v>0</v>
      </c>
    </row>
    <row r="62" spans="1:5" ht="12.75">
      <c r="A62" s="204">
        <v>54</v>
      </c>
      <c r="B62" s="207">
        <v>0</v>
      </c>
      <c r="D62" s="208">
        <v>0.53</v>
      </c>
      <c r="E62" s="209">
        <f t="shared" si="1"/>
        <v>0</v>
      </c>
    </row>
    <row r="63" spans="1:5" ht="12.75">
      <c r="A63" s="204">
        <v>55</v>
      </c>
      <c r="B63" s="207">
        <v>0</v>
      </c>
      <c r="D63" s="208">
        <v>0.54</v>
      </c>
      <c r="E63" s="209">
        <f t="shared" si="1"/>
        <v>0</v>
      </c>
    </row>
    <row r="64" spans="1:5" ht="12.75">
      <c r="A64" s="204">
        <v>56</v>
      </c>
      <c r="B64" s="207">
        <v>0</v>
      </c>
      <c r="D64" s="208">
        <v>0.55</v>
      </c>
      <c r="E64" s="209">
        <f t="shared" si="1"/>
        <v>0</v>
      </c>
    </row>
    <row r="65" spans="1:5" ht="12.75">
      <c r="A65" s="204">
        <v>57</v>
      </c>
      <c r="B65" s="207">
        <v>0</v>
      </c>
      <c r="D65" s="208">
        <v>0.56</v>
      </c>
      <c r="E65" s="209">
        <f t="shared" si="1"/>
        <v>0</v>
      </c>
    </row>
    <row r="66" spans="1:5" ht="12.75">
      <c r="A66" s="204">
        <v>58</v>
      </c>
      <c r="B66" s="207">
        <v>0</v>
      </c>
      <c r="D66" s="208">
        <v>0.57</v>
      </c>
      <c r="E66" s="209">
        <f t="shared" si="1"/>
        <v>0</v>
      </c>
    </row>
    <row r="67" spans="1:5" ht="12.75">
      <c r="A67" s="204">
        <v>59</v>
      </c>
      <c r="B67" s="207">
        <v>0</v>
      </c>
      <c r="D67" s="208">
        <v>0.58</v>
      </c>
      <c r="E67" s="209">
        <f t="shared" si="1"/>
        <v>0</v>
      </c>
    </row>
    <row r="68" spans="1:5" ht="12.75">
      <c r="A68" s="204">
        <v>60</v>
      </c>
      <c r="B68" s="207">
        <v>0</v>
      </c>
      <c r="D68" s="208">
        <v>0.59</v>
      </c>
      <c r="E68" s="209">
        <f t="shared" si="1"/>
        <v>0</v>
      </c>
    </row>
    <row r="69" spans="1:5" ht="12.75">
      <c r="A69" s="204">
        <v>61</v>
      </c>
      <c r="B69" s="207">
        <v>0</v>
      </c>
      <c r="D69" s="208">
        <v>0.6</v>
      </c>
      <c r="E69" s="209">
        <f t="shared" si="1"/>
        <v>0</v>
      </c>
    </row>
    <row r="70" spans="1:5" ht="12.75">
      <c r="A70" s="204">
        <v>62</v>
      </c>
      <c r="B70" s="207">
        <v>0</v>
      </c>
      <c r="D70" s="208">
        <v>0.61</v>
      </c>
      <c r="E70" s="209">
        <f t="shared" si="1"/>
        <v>0</v>
      </c>
    </row>
    <row r="71" spans="1:5" ht="12.75">
      <c r="A71" s="204">
        <v>63</v>
      </c>
      <c r="B71" s="207">
        <v>0</v>
      </c>
      <c r="D71" s="208">
        <v>0.62</v>
      </c>
      <c r="E71" s="209">
        <f t="shared" si="1"/>
        <v>0</v>
      </c>
    </row>
    <row r="72" spans="1:5" ht="12.75">
      <c r="A72" s="204">
        <v>64</v>
      </c>
      <c r="B72" s="207">
        <v>0</v>
      </c>
      <c r="D72" s="208">
        <v>0.63</v>
      </c>
      <c r="E72" s="209">
        <f t="shared" si="1"/>
        <v>0</v>
      </c>
    </row>
    <row r="73" spans="1:5" ht="12.75">
      <c r="A73" s="204">
        <v>65</v>
      </c>
      <c r="B73" s="207">
        <v>0</v>
      </c>
      <c r="D73" s="208">
        <v>0.64</v>
      </c>
      <c r="E73" s="209">
        <f t="shared" si="1"/>
        <v>0</v>
      </c>
    </row>
    <row r="74" spans="1:5" ht="12.75">
      <c r="A74" s="204">
        <v>66</v>
      </c>
      <c r="B74" s="207">
        <v>0</v>
      </c>
      <c r="D74" s="208">
        <v>0.65</v>
      </c>
      <c r="E74" s="209">
        <f aca="true" t="shared" si="2" ref="E74:E105">PERCENTILE($B$9:$B$2481,D74)</f>
        <v>0</v>
      </c>
    </row>
    <row r="75" spans="1:5" ht="12.75">
      <c r="A75" s="204">
        <v>67</v>
      </c>
      <c r="B75" s="207">
        <v>0</v>
      </c>
      <c r="D75" s="208">
        <v>0.66</v>
      </c>
      <c r="E75" s="209">
        <f t="shared" si="2"/>
        <v>0</v>
      </c>
    </row>
    <row r="76" spans="1:5" ht="12.75">
      <c r="A76" s="204">
        <v>68</v>
      </c>
      <c r="B76" s="207">
        <v>0</v>
      </c>
      <c r="D76" s="208">
        <v>0.67</v>
      </c>
      <c r="E76" s="209">
        <f t="shared" si="2"/>
        <v>0</v>
      </c>
    </row>
    <row r="77" spans="1:5" ht="12.75">
      <c r="A77" s="204">
        <v>69</v>
      </c>
      <c r="B77" s="207">
        <v>0</v>
      </c>
      <c r="D77" s="208">
        <v>0.68</v>
      </c>
      <c r="E77" s="209">
        <f t="shared" si="2"/>
        <v>0</v>
      </c>
    </row>
    <row r="78" spans="1:5" ht="12.75">
      <c r="A78" s="204">
        <v>70</v>
      </c>
      <c r="B78" s="207">
        <v>0</v>
      </c>
      <c r="D78" s="208">
        <v>0.69</v>
      </c>
      <c r="E78" s="209">
        <f t="shared" si="2"/>
        <v>0</v>
      </c>
    </row>
    <row r="79" spans="1:5" ht="12.75">
      <c r="A79" s="204">
        <v>71</v>
      </c>
      <c r="B79" s="207">
        <v>0</v>
      </c>
      <c r="D79" s="208">
        <v>0.7</v>
      </c>
      <c r="E79" s="209">
        <f t="shared" si="2"/>
        <v>0</v>
      </c>
    </row>
    <row r="80" spans="1:5" ht="12.75">
      <c r="A80" s="204">
        <v>72</v>
      </c>
      <c r="B80" s="207">
        <v>0</v>
      </c>
      <c r="D80" s="208">
        <v>0.71</v>
      </c>
      <c r="E80" s="209">
        <f t="shared" si="2"/>
        <v>0</v>
      </c>
    </row>
    <row r="81" spans="1:5" ht="12.75">
      <c r="A81" s="204">
        <v>73</v>
      </c>
      <c r="B81" s="207">
        <v>0</v>
      </c>
      <c r="D81" s="208">
        <v>0.72</v>
      </c>
      <c r="E81" s="209">
        <f t="shared" si="2"/>
        <v>0</v>
      </c>
    </row>
    <row r="82" spans="1:5" ht="12.75">
      <c r="A82" s="204">
        <v>74</v>
      </c>
      <c r="B82" s="207">
        <v>0</v>
      </c>
      <c r="D82" s="208">
        <v>0.73</v>
      </c>
      <c r="E82" s="209">
        <f t="shared" si="2"/>
        <v>0</v>
      </c>
    </row>
    <row r="83" spans="1:5" ht="12.75">
      <c r="A83" s="204">
        <v>75</v>
      </c>
      <c r="B83" s="207">
        <v>0</v>
      </c>
      <c r="D83" s="208">
        <v>0.74</v>
      </c>
      <c r="E83" s="209">
        <f t="shared" si="2"/>
        <v>0</v>
      </c>
    </row>
    <row r="84" spans="1:5" ht="12.75">
      <c r="A84" s="204">
        <v>76</v>
      </c>
      <c r="B84" s="207">
        <v>0</v>
      </c>
      <c r="D84" s="208">
        <v>0.75</v>
      </c>
      <c r="E84" s="209">
        <f t="shared" si="2"/>
        <v>0</v>
      </c>
    </row>
    <row r="85" spans="1:5" ht="12.75">
      <c r="A85" s="204">
        <v>77</v>
      </c>
      <c r="B85" s="207">
        <v>0</v>
      </c>
      <c r="D85" s="208">
        <v>0.76</v>
      </c>
      <c r="E85" s="209">
        <f t="shared" si="2"/>
        <v>0</v>
      </c>
    </row>
    <row r="86" spans="1:5" ht="12.75">
      <c r="A86" s="204">
        <v>78</v>
      </c>
      <c r="B86" s="207">
        <v>0</v>
      </c>
      <c r="D86" s="208">
        <v>0.77</v>
      </c>
      <c r="E86" s="209">
        <f t="shared" si="2"/>
        <v>0</v>
      </c>
    </row>
    <row r="87" spans="1:5" ht="12.75">
      <c r="A87" s="204">
        <v>79</v>
      </c>
      <c r="B87" s="207">
        <v>0</v>
      </c>
      <c r="D87" s="208">
        <v>0.78</v>
      </c>
      <c r="E87" s="209">
        <f t="shared" si="2"/>
        <v>0</v>
      </c>
    </row>
    <row r="88" spans="1:5" ht="12.75">
      <c r="A88" s="204">
        <v>80</v>
      </c>
      <c r="B88" s="207">
        <v>0</v>
      </c>
      <c r="D88" s="208">
        <v>0.79</v>
      </c>
      <c r="E88" s="209">
        <f t="shared" si="2"/>
        <v>0</v>
      </c>
    </row>
    <row r="89" spans="1:5" ht="12.75">
      <c r="A89" s="204">
        <v>81</v>
      </c>
      <c r="B89" s="207">
        <v>0</v>
      </c>
      <c r="D89" s="208">
        <v>0.8</v>
      </c>
      <c r="E89" s="209">
        <f t="shared" si="2"/>
        <v>0</v>
      </c>
    </row>
    <row r="90" spans="1:5" ht="12.75">
      <c r="A90" s="204">
        <v>82</v>
      </c>
      <c r="B90" s="207">
        <v>0</v>
      </c>
      <c r="D90" s="208">
        <v>0.81</v>
      </c>
      <c r="E90" s="209">
        <f t="shared" si="2"/>
        <v>0</v>
      </c>
    </row>
    <row r="91" spans="1:5" ht="12.75">
      <c r="A91" s="204">
        <v>83</v>
      </c>
      <c r="B91" s="207">
        <v>0</v>
      </c>
      <c r="D91" s="208">
        <v>0.82</v>
      </c>
      <c r="E91" s="209">
        <f t="shared" si="2"/>
        <v>0</v>
      </c>
    </row>
    <row r="92" spans="1:5" ht="12.75">
      <c r="A92" s="204">
        <v>84</v>
      </c>
      <c r="B92" s="207">
        <v>0</v>
      </c>
      <c r="D92" s="208">
        <v>0.83</v>
      </c>
      <c r="E92" s="209">
        <f t="shared" si="2"/>
        <v>0</v>
      </c>
    </row>
    <row r="93" spans="1:5" ht="12.75">
      <c r="A93" s="204">
        <v>85</v>
      </c>
      <c r="B93" s="207">
        <v>0</v>
      </c>
      <c r="D93" s="208">
        <v>0.84</v>
      </c>
      <c r="E93" s="209">
        <f t="shared" si="2"/>
        <v>0</v>
      </c>
    </row>
    <row r="94" spans="1:5" ht="12.75">
      <c r="A94" s="204">
        <v>86</v>
      </c>
      <c r="B94" s="207">
        <v>0</v>
      </c>
      <c r="D94" s="208">
        <v>0.85</v>
      </c>
      <c r="E94" s="209">
        <f t="shared" si="2"/>
        <v>0</v>
      </c>
    </row>
    <row r="95" spans="1:5" ht="12.75">
      <c r="A95" s="204">
        <v>87</v>
      </c>
      <c r="B95" s="207">
        <v>0</v>
      </c>
      <c r="D95" s="208">
        <v>0.86</v>
      </c>
      <c r="E95" s="209">
        <f t="shared" si="2"/>
        <v>0</v>
      </c>
    </row>
    <row r="96" spans="1:5" ht="12.75">
      <c r="A96" s="204">
        <v>88</v>
      </c>
      <c r="B96" s="207">
        <v>0</v>
      </c>
      <c r="D96" s="208">
        <v>0.87</v>
      </c>
      <c r="E96" s="209">
        <f t="shared" si="2"/>
        <v>0</v>
      </c>
    </row>
    <row r="97" spans="1:5" ht="12.75">
      <c r="A97" s="204">
        <v>89</v>
      </c>
      <c r="B97" s="207">
        <v>0</v>
      </c>
      <c r="D97" s="208">
        <v>0.88</v>
      </c>
      <c r="E97" s="209">
        <f t="shared" si="2"/>
        <v>0</v>
      </c>
    </row>
    <row r="98" spans="1:5" ht="12.75">
      <c r="A98" s="204">
        <v>90</v>
      </c>
      <c r="B98" s="207">
        <v>0</v>
      </c>
      <c r="D98" s="208">
        <v>0.89</v>
      </c>
      <c r="E98" s="209">
        <f t="shared" si="2"/>
        <v>0</v>
      </c>
    </row>
    <row r="99" spans="1:5" ht="12.75">
      <c r="A99" s="204">
        <v>91</v>
      </c>
      <c r="B99" s="207">
        <v>0</v>
      </c>
      <c r="D99" s="208">
        <v>0.9</v>
      </c>
      <c r="E99" s="209">
        <f t="shared" si="2"/>
        <v>0</v>
      </c>
    </row>
    <row r="100" spans="1:5" ht="12.75">
      <c r="A100" s="204">
        <v>92</v>
      </c>
      <c r="B100" s="207">
        <v>0</v>
      </c>
      <c r="D100" s="208">
        <v>0.91</v>
      </c>
      <c r="E100" s="209">
        <f t="shared" si="2"/>
        <v>0</v>
      </c>
    </row>
    <row r="101" spans="1:5" ht="12.75">
      <c r="A101" s="204">
        <v>93</v>
      </c>
      <c r="B101" s="207">
        <v>0</v>
      </c>
      <c r="D101" s="208">
        <v>0.92</v>
      </c>
      <c r="E101" s="209">
        <f t="shared" si="2"/>
        <v>0</v>
      </c>
    </row>
    <row r="102" spans="1:5" ht="12.75">
      <c r="A102" s="204">
        <v>94</v>
      </c>
      <c r="B102" s="207">
        <v>0</v>
      </c>
      <c r="D102" s="208">
        <v>0.93</v>
      </c>
      <c r="E102" s="209">
        <f t="shared" si="2"/>
        <v>0</v>
      </c>
    </row>
    <row r="103" spans="1:5" ht="12.75">
      <c r="A103" s="204">
        <v>95</v>
      </c>
      <c r="B103" s="207">
        <v>0</v>
      </c>
      <c r="D103" s="208">
        <v>0.94</v>
      </c>
      <c r="E103" s="209">
        <f t="shared" si="2"/>
        <v>0</v>
      </c>
    </row>
    <row r="104" spans="1:5" ht="12.75">
      <c r="A104" s="204">
        <v>96</v>
      </c>
      <c r="B104" s="207">
        <v>0</v>
      </c>
      <c r="D104" s="208">
        <v>0.95</v>
      </c>
      <c r="E104" s="209">
        <f t="shared" si="2"/>
        <v>0</v>
      </c>
    </row>
    <row r="105" spans="1:5" ht="12.75">
      <c r="A105" s="204">
        <v>97</v>
      </c>
      <c r="B105" s="207">
        <v>0</v>
      </c>
      <c r="D105" s="208">
        <v>0.96</v>
      </c>
      <c r="E105" s="209">
        <f t="shared" si="2"/>
        <v>0</v>
      </c>
    </row>
    <row r="106" spans="1:5" ht="12.75">
      <c r="A106" s="204">
        <v>98</v>
      </c>
      <c r="B106" s="207">
        <v>0</v>
      </c>
      <c r="D106" s="208">
        <v>0.97</v>
      </c>
      <c r="E106" s="209">
        <f>PERCENTILE($B$9:$B$2481,D106)</f>
        <v>0</v>
      </c>
    </row>
    <row r="107" spans="1:5" ht="12.75">
      <c r="A107" s="204">
        <v>99</v>
      </c>
      <c r="B107" s="207">
        <v>0</v>
      </c>
      <c r="D107" s="208">
        <v>0.98</v>
      </c>
      <c r="E107" s="209">
        <f>PERCENTILE($B$9:$B$2481,D107)</f>
        <v>0</v>
      </c>
    </row>
    <row r="108" spans="1:5" ht="12.75">
      <c r="A108" s="204">
        <v>100</v>
      </c>
      <c r="B108" s="207">
        <v>0</v>
      </c>
      <c r="D108" s="208">
        <v>0.99</v>
      </c>
      <c r="E108" s="209">
        <f>PERCENTILE($B$9:$B$2481,D108)</f>
        <v>0</v>
      </c>
    </row>
    <row r="109" spans="1:5" ht="12.75">
      <c r="A109" s="204">
        <v>101</v>
      </c>
      <c r="B109" s="207">
        <v>0</v>
      </c>
      <c r="D109" s="208">
        <v>1</v>
      </c>
      <c r="E109" s="209">
        <f>PERCENTILE($B$9:$B$2481,D109)</f>
        <v>0</v>
      </c>
    </row>
    <row r="110" spans="1:2" ht="12.75">
      <c r="A110" s="204">
        <v>102</v>
      </c>
      <c r="B110" s="207">
        <v>0</v>
      </c>
    </row>
    <row r="111" spans="1:2" ht="12.75">
      <c r="A111" s="204">
        <v>103</v>
      </c>
      <c r="B111" s="207">
        <v>0</v>
      </c>
    </row>
    <row r="112" spans="1:2" ht="12.75">
      <c r="A112" s="204">
        <v>104</v>
      </c>
      <c r="B112" s="207">
        <v>0</v>
      </c>
    </row>
    <row r="113" spans="1:2" ht="12.75">
      <c r="A113" s="204">
        <v>105</v>
      </c>
      <c r="B113" s="207">
        <v>0</v>
      </c>
    </row>
    <row r="114" spans="1:2" ht="12.75">
      <c r="A114" s="204">
        <v>106</v>
      </c>
      <c r="B114" s="207">
        <v>0</v>
      </c>
    </row>
    <row r="115" spans="1:2" ht="12.75">
      <c r="A115" s="204">
        <v>107</v>
      </c>
      <c r="B115" s="207">
        <v>0</v>
      </c>
    </row>
    <row r="116" spans="1:2" ht="12.75">
      <c r="A116" s="204">
        <v>108</v>
      </c>
      <c r="B116" s="207">
        <v>0</v>
      </c>
    </row>
    <row r="117" spans="1:2" ht="12.75">
      <c r="A117" s="204">
        <v>109</v>
      </c>
      <c r="B117" s="207">
        <v>0</v>
      </c>
    </row>
    <row r="118" spans="1:2" ht="12.75">
      <c r="A118" s="204">
        <v>110</v>
      </c>
      <c r="B118" s="207">
        <v>0</v>
      </c>
    </row>
    <row r="119" spans="1:2" ht="12.75">
      <c r="A119" s="204">
        <v>111</v>
      </c>
      <c r="B119" s="207">
        <v>0</v>
      </c>
    </row>
    <row r="120" spans="1:2" ht="12.75">
      <c r="A120" s="204">
        <v>112</v>
      </c>
      <c r="B120" s="207">
        <v>0</v>
      </c>
    </row>
    <row r="121" spans="1:2" ht="12.75">
      <c r="A121" s="204">
        <v>113</v>
      </c>
      <c r="B121" s="207">
        <v>0</v>
      </c>
    </row>
    <row r="122" spans="1:2" ht="12.75">
      <c r="A122" s="204">
        <v>114</v>
      </c>
      <c r="B122" s="207">
        <v>0</v>
      </c>
    </row>
    <row r="123" spans="1:2" ht="12.75">
      <c r="A123" s="204">
        <v>115</v>
      </c>
      <c r="B123" s="207">
        <v>0</v>
      </c>
    </row>
    <row r="124" spans="1:2" ht="12.75">
      <c r="A124" s="204">
        <v>116</v>
      </c>
      <c r="B124" s="207">
        <v>0</v>
      </c>
    </row>
    <row r="125" spans="1:2" ht="12.75">
      <c r="A125" s="204">
        <v>117</v>
      </c>
      <c r="B125" s="207">
        <v>0</v>
      </c>
    </row>
    <row r="126" spans="1:2" ht="12.75">
      <c r="A126" s="204">
        <v>118</v>
      </c>
      <c r="B126" s="207">
        <v>0</v>
      </c>
    </row>
    <row r="127" spans="1:2" ht="12.75">
      <c r="A127" s="204">
        <v>119</v>
      </c>
      <c r="B127" s="207">
        <v>0</v>
      </c>
    </row>
    <row r="128" spans="1:2" ht="12.75">
      <c r="A128" s="204">
        <v>120</v>
      </c>
      <c r="B128" s="207">
        <v>0</v>
      </c>
    </row>
    <row r="129" spans="1:2" ht="12.75">
      <c r="A129" s="204">
        <v>121</v>
      </c>
      <c r="B129" s="207">
        <v>0</v>
      </c>
    </row>
    <row r="130" spans="1:2" ht="12.75">
      <c r="A130" s="204">
        <v>122</v>
      </c>
      <c r="B130" s="207">
        <v>0</v>
      </c>
    </row>
    <row r="131" spans="1:2" ht="12.75">
      <c r="A131" s="204">
        <v>123</v>
      </c>
      <c r="B131" s="207">
        <v>0</v>
      </c>
    </row>
    <row r="132" spans="1:2" ht="12.75">
      <c r="A132" s="204">
        <v>124</v>
      </c>
      <c r="B132" s="207">
        <v>0</v>
      </c>
    </row>
    <row r="133" spans="1:2" ht="12.75">
      <c r="A133" s="204">
        <v>125</v>
      </c>
      <c r="B133" s="207">
        <v>0</v>
      </c>
    </row>
    <row r="134" spans="1:2" ht="12.75">
      <c r="A134" s="204">
        <v>126</v>
      </c>
      <c r="B134" s="207">
        <v>0</v>
      </c>
    </row>
    <row r="135" spans="1:2" ht="12.75">
      <c r="A135" s="204">
        <v>127</v>
      </c>
      <c r="B135" s="207">
        <v>0</v>
      </c>
    </row>
    <row r="136" spans="1:2" ht="12.75">
      <c r="A136" s="204">
        <v>128</v>
      </c>
      <c r="B136" s="207">
        <v>0</v>
      </c>
    </row>
    <row r="137" spans="1:2" ht="12.75">
      <c r="A137" s="204">
        <v>129</v>
      </c>
      <c r="B137" s="207">
        <v>0</v>
      </c>
    </row>
    <row r="138" spans="1:2" ht="12.75">
      <c r="A138" s="204">
        <v>130</v>
      </c>
      <c r="B138" s="207">
        <v>0</v>
      </c>
    </row>
    <row r="139" spans="1:2" ht="12.75">
      <c r="A139" s="204">
        <v>131</v>
      </c>
      <c r="B139" s="207">
        <v>0</v>
      </c>
    </row>
    <row r="140" spans="1:2" ht="12.75">
      <c r="A140" s="204">
        <v>132</v>
      </c>
      <c r="B140" s="207">
        <v>0</v>
      </c>
    </row>
    <row r="141" spans="1:2" ht="12.75">
      <c r="A141" s="204">
        <v>133</v>
      </c>
      <c r="B141" s="207">
        <v>0</v>
      </c>
    </row>
    <row r="142" spans="1:2" ht="12.75">
      <c r="A142" s="204">
        <v>134</v>
      </c>
      <c r="B142" s="207">
        <v>0</v>
      </c>
    </row>
    <row r="143" spans="1:2" ht="12.75">
      <c r="A143" s="204">
        <v>135</v>
      </c>
      <c r="B143" s="207">
        <v>0</v>
      </c>
    </row>
    <row r="144" spans="1:2" ht="12.75">
      <c r="A144" s="204">
        <v>136</v>
      </c>
      <c r="B144" s="207">
        <v>0</v>
      </c>
    </row>
    <row r="145" spans="1:2" ht="12.75">
      <c r="A145" s="204">
        <v>137</v>
      </c>
      <c r="B145" s="207">
        <v>0</v>
      </c>
    </row>
    <row r="146" spans="1:2" ht="12.75">
      <c r="A146" s="204">
        <v>138</v>
      </c>
      <c r="B146" s="207">
        <v>0</v>
      </c>
    </row>
    <row r="147" spans="1:2" ht="12.75">
      <c r="A147" s="204">
        <v>139</v>
      </c>
      <c r="B147" s="207">
        <v>0</v>
      </c>
    </row>
    <row r="148" spans="1:2" ht="12.75">
      <c r="A148" s="204">
        <v>140</v>
      </c>
      <c r="B148" s="207">
        <v>0</v>
      </c>
    </row>
    <row r="149" spans="1:2" ht="12.75">
      <c r="A149" s="204">
        <v>141</v>
      </c>
      <c r="B149" s="207">
        <v>0</v>
      </c>
    </row>
    <row r="150" spans="1:2" ht="12.75">
      <c r="A150" s="204">
        <v>142</v>
      </c>
      <c r="B150" s="207">
        <v>0</v>
      </c>
    </row>
    <row r="151" spans="1:2" ht="12.75">
      <c r="A151" s="204">
        <v>143</v>
      </c>
      <c r="B151" s="207">
        <v>0</v>
      </c>
    </row>
    <row r="152" spans="1:2" ht="12.75">
      <c r="A152" s="204">
        <v>144</v>
      </c>
      <c r="B152" s="207">
        <v>0</v>
      </c>
    </row>
    <row r="153" spans="1:2" ht="12.75">
      <c r="A153" s="204">
        <v>145</v>
      </c>
      <c r="B153" s="207">
        <v>0</v>
      </c>
    </row>
    <row r="154" spans="1:2" ht="12.75">
      <c r="A154" s="204">
        <v>146</v>
      </c>
      <c r="B154" s="207">
        <v>0</v>
      </c>
    </row>
    <row r="155" spans="1:2" ht="12.75">
      <c r="A155" s="204">
        <v>147</v>
      </c>
      <c r="B155" s="207">
        <v>0</v>
      </c>
    </row>
    <row r="156" spans="1:2" ht="12.75">
      <c r="A156" s="204">
        <v>148</v>
      </c>
      <c r="B156" s="207">
        <v>0</v>
      </c>
    </row>
    <row r="157" spans="1:2" ht="12.75">
      <c r="A157" s="204">
        <v>149</v>
      </c>
      <c r="B157" s="207">
        <v>0</v>
      </c>
    </row>
    <row r="158" spans="1:2" ht="12.75">
      <c r="A158" s="204">
        <v>150</v>
      </c>
      <c r="B158" s="207">
        <v>0</v>
      </c>
    </row>
    <row r="159" spans="1:2" ht="12.75">
      <c r="A159" s="204">
        <v>151</v>
      </c>
      <c r="B159" s="207">
        <v>0</v>
      </c>
    </row>
    <row r="160" spans="1:2" ht="12.75">
      <c r="A160" s="204">
        <v>152</v>
      </c>
      <c r="B160" s="207">
        <v>0</v>
      </c>
    </row>
    <row r="161" spans="1:2" ht="12.75">
      <c r="A161" s="204">
        <v>153</v>
      </c>
      <c r="B161" s="207">
        <v>0</v>
      </c>
    </row>
    <row r="162" spans="1:2" ht="12.75">
      <c r="A162" s="204">
        <v>154</v>
      </c>
      <c r="B162" s="207">
        <v>0</v>
      </c>
    </row>
    <row r="163" spans="1:2" ht="12.75">
      <c r="A163" s="204">
        <v>155</v>
      </c>
      <c r="B163" s="207">
        <v>0</v>
      </c>
    </row>
    <row r="164" spans="1:2" ht="12.75">
      <c r="A164" s="204">
        <v>156</v>
      </c>
      <c r="B164" s="207">
        <v>0</v>
      </c>
    </row>
    <row r="165" spans="1:2" ht="12.75">
      <c r="A165" s="204">
        <v>157</v>
      </c>
      <c r="B165" s="207">
        <v>0</v>
      </c>
    </row>
    <row r="166" spans="1:2" ht="12.75">
      <c r="A166" s="204">
        <v>158</v>
      </c>
      <c r="B166" s="207">
        <v>0</v>
      </c>
    </row>
    <row r="167" spans="1:2" ht="12.75">
      <c r="A167" s="204">
        <v>159</v>
      </c>
      <c r="B167" s="207">
        <v>0</v>
      </c>
    </row>
    <row r="168" spans="1:2" ht="12.75">
      <c r="A168" s="204">
        <v>160</v>
      </c>
      <c r="B168" s="207">
        <v>0</v>
      </c>
    </row>
    <row r="169" spans="1:2" ht="12.75">
      <c r="A169" s="204">
        <v>161</v>
      </c>
      <c r="B169" s="207">
        <v>0</v>
      </c>
    </row>
    <row r="170" spans="1:2" ht="12.75">
      <c r="A170" s="204">
        <v>162</v>
      </c>
      <c r="B170" s="207">
        <v>0</v>
      </c>
    </row>
    <row r="171" spans="1:2" ht="12.75">
      <c r="A171" s="204">
        <v>163</v>
      </c>
      <c r="B171" s="207">
        <v>0</v>
      </c>
    </row>
    <row r="172" spans="1:2" ht="12.75">
      <c r="A172" s="204">
        <v>164</v>
      </c>
      <c r="B172" s="207">
        <v>0</v>
      </c>
    </row>
    <row r="173" spans="1:2" ht="12.75">
      <c r="A173" s="204">
        <v>165</v>
      </c>
      <c r="B173" s="207">
        <v>0</v>
      </c>
    </row>
    <row r="174" spans="1:2" ht="12.75">
      <c r="A174" s="204">
        <v>166</v>
      </c>
      <c r="B174" s="207">
        <v>0</v>
      </c>
    </row>
    <row r="175" spans="1:2" ht="12.75">
      <c r="A175" s="204">
        <v>167</v>
      </c>
      <c r="B175" s="207">
        <v>0</v>
      </c>
    </row>
    <row r="176" spans="1:2" ht="12.75">
      <c r="A176" s="204">
        <v>168</v>
      </c>
      <c r="B176" s="207">
        <v>0</v>
      </c>
    </row>
    <row r="177" spans="1:2" ht="12.75">
      <c r="A177" s="204">
        <v>169</v>
      </c>
      <c r="B177" s="207">
        <v>0</v>
      </c>
    </row>
    <row r="178" spans="1:2" ht="12.75">
      <c r="A178" s="204">
        <v>170</v>
      </c>
      <c r="B178" s="207">
        <v>0</v>
      </c>
    </row>
    <row r="179" spans="1:2" ht="12.75">
      <c r="A179" s="204">
        <v>171</v>
      </c>
      <c r="B179" s="207">
        <v>0</v>
      </c>
    </row>
    <row r="180" spans="1:2" ht="12.75">
      <c r="A180" s="204">
        <v>172</v>
      </c>
      <c r="B180" s="207">
        <v>0</v>
      </c>
    </row>
    <row r="181" spans="1:2" ht="12.75">
      <c r="A181" s="204">
        <v>173</v>
      </c>
      <c r="B181" s="207">
        <v>0</v>
      </c>
    </row>
    <row r="182" spans="1:2" ht="12.75">
      <c r="A182" s="204">
        <v>174</v>
      </c>
      <c r="B182" s="207">
        <v>0</v>
      </c>
    </row>
    <row r="183" spans="1:2" ht="12.75">
      <c r="A183" s="204">
        <v>175</v>
      </c>
      <c r="B183" s="207">
        <v>0</v>
      </c>
    </row>
    <row r="184" spans="1:2" ht="12.75">
      <c r="A184" s="204">
        <v>176</v>
      </c>
      <c r="B184" s="207">
        <v>0</v>
      </c>
    </row>
    <row r="185" spans="1:2" ht="12.75">
      <c r="A185" s="204">
        <v>177</v>
      </c>
      <c r="B185" s="207">
        <v>0</v>
      </c>
    </row>
    <row r="186" spans="1:2" ht="12.75">
      <c r="A186" s="204">
        <v>178</v>
      </c>
      <c r="B186" s="207">
        <v>0</v>
      </c>
    </row>
    <row r="187" spans="1:2" ht="12.75">
      <c r="A187" s="204">
        <v>179</v>
      </c>
      <c r="B187" s="207">
        <v>0</v>
      </c>
    </row>
    <row r="188" spans="1:2" ht="12.75">
      <c r="A188" s="204">
        <v>180</v>
      </c>
      <c r="B188" s="207">
        <v>0</v>
      </c>
    </row>
    <row r="189" spans="1:2" ht="12.75">
      <c r="A189" s="204">
        <v>181</v>
      </c>
      <c r="B189" s="207">
        <v>0</v>
      </c>
    </row>
    <row r="190" spans="1:2" ht="12.75">
      <c r="A190" s="204">
        <v>182</v>
      </c>
      <c r="B190" s="207">
        <v>0</v>
      </c>
    </row>
    <row r="191" spans="1:2" ht="12.75">
      <c r="A191" s="204">
        <v>183</v>
      </c>
      <c r="B191" s="207">
        <v>0</v>
      </c>
    </row>
    <row r="192" spans="1:2" ht="12.75">
      <c r="A192" s="204">
        <v>184</v>
      </c>
      <c r="B192" s="207">
        <v>0</v>
      </c>
    </row>
    <row r="193" spans="1:2" ht="12.75">
      <c r="A193" s="204">
        <v>185</v>
      </c>
      <c r="B193" s="207">
        <v>0</v>
      </c>
    </row>
    <row r="194" spans="1:2" ht="12.75">
      <c r="A194" s="204">
        <v>186</v>
      </c>
      <c r="B194" s="207">
        <v>0</v>
      </c>
    </row>
    <row r="195" spans="1:2" ht="12.75">
      <c r="A195" s="204">
        <v>187</v>
      </c>
      <c r="B195" s="207">
        <v>0</v>
      </c>
    </row>
    <row r="196" spans="1:2" ht="12.75">
      <c r="A196" s="204">
        <v>188</v>
      </c>
      <c r="B196" s="207">
        <v>0</v>
      </c>
    </row>
    <row r="197" spans="1:2" ht="12.75">
      <c r="A197" s="204">
        <v>189</v>
      </c>
      <c r="B197" s="207">
        <v>0</v>
      </c>
    </row>
    <row r="198" spans="1:2" ht="12.75">
      <c r="A198" s="204">
        <v>190</v>
      </c>
      <c r="B198" s="207">
        <v>0</v>
      </c>
    </row>
    <row r="199" spans="1:2" ht="12.75">
      <c r="A199" s="204">
        <v>191</v>
      </c>
      <c r="B199" s="207">
        <v>0</v>
      </c>
    </row>
    <row r="200" spans="1:2" ht="12.75">
      <c r="A200" s="204">
        <v>192</v>
      </c>
      <c r="B200" s="207">
        <v>0</v>
      </c>
    </row>
    <row r="201" spans="1:2" ht="12.75">
      <c r="A201" s="204">
        <v>193</v>
      </c>
      <c r="B201" s="207">
        <v>0</v>
      </c>
    </row>
    <row r="202" spans="1:2" ht="12.75">
      <c r="A202" s="204">
        <v>194</v>
      </c>
      <c r="B202" s="207">
        <v>0</v>
      </c>
    </row>
    <row r="203" spans="1:2" ht="12.75">
      <c r="A203" s="204">
        <v>195</v>
      </c>
      <c r="B203" s="207">
        <v>0</v>
      </c>
    </row>
    <row r="204" spans="1:2" ht="12.75">
      <c r="A204" s="204">
        <v>196</v>
      </c>
      <c r="B204" s="207">
        <v>0</v>
      </c>
    </row>
    <row r="205" spans="1:2" ht="12.75">
      <c r="A205" s="204">
        <v>197</v>
      </c>
      <c r="B205" s="207">
        <v>0</v>
      </c>
    </row>
    <row r="206" spans="1:2" ht="12.75">
      <c r="A206" s="204">
        <v>198</v>
      </c>
      <c r="B206" s="207">
        <v>0</v>
      </c>
    </row>
    <row r="207" spans="1:2" ht="12.75">
      <c r="A207" s="204">
        <v>199</v>
      </c>
      <c r="B207" s="207">
        <v>0</v>
      </c>
    </row>
    <row r="208" spans="1:2" ht="12.75">
      <c r="A208" s="204">
        <v>200</v>
      </c>
      <c r="B208" s="207">
        <v>0</v>
      </c>
    </row>
    <row r="209" spans="1:2" ht="12.75">
      <c r="A209" s="204">
        <v>201</v>
      </c>
      <c r="B209" s="207">
        <v>0</v>
      </c>
    </row>
    <row r="210" spans="1:2" ht="12.75">
      <c r="A210" s="204">
        <v>202</v>
      </c>
      <c r="B210" s="207">
        <v>0</v>
      </c>
    </row>
    <row r="211" spans="1:2" ht="12.75">
      <c r="A211" s="204">
        <v>203</v>
      </c>
      <c r="B211" s="207">
        <v>0</v>
      </c>
    </row>
    <row r="212" spans="1:2" ht="12.75">
      <c r="A212" s="204">
        <v>204</v>
      </c>
      <c r="B212" s="207">
        <v>0</v>
      </c>
    </row>
    <row r="213" spans="1:2" ht="12.75">
      <c r="A213" s="204">
        <v>205</v>
      </c>
      <c r="B213" s="207">
        <v>0</v>
      </c>
    </row>
    <row r="214" spans="1:2" ht="12.75">
      <c r="A214" s="204">
        <v>206</v>
      </c>
      <c r="B214" s="207">
        <v>0</v>
      </c>
    </row>
    <row r="215" spans="1:2" ht="12.75">
      <c r="A215" s="204">
        <v>207</v>
      </c>
      <c r="B215" s="207">
        <v>0</v>
      </c>
    </row>
    <row r="216" spans="1:2" ht="12.75">
      <c r="A216" s="204">
        <v>208</v>
      </c>
      <c r="B216" s="207">
        <v>0</v>
      </c>
    </row>
    <row r="217" spans="1:2" ht="12.75">
      <c r="A217" s="204">
        <v>209</v>
      </c>
      <c r="B217" s="207">
        <v>0</v>
      </c>
    </row>
    <row r="218" spans="1:2" ht="12.75">
      <c r="A218" s="204">
        <v>210</v>
      </c>
      <c r="B218" s="207">
        <v>0</v>
      </c>
    </row>
    <row r="219" spans="1:2" ht="12.75">
      <c r="A219" s="204">
        <v>211</v>
      </c>
      <c r="B219" s="207">
        <v>0</v>
      </c>
    </row>
    <row r="220" spans="1:2" ht="12.75">
      <c r="A220" s="204">
        <v>212</v>
      </c>
      <c r="B220" s="207">
        <v>0</v>
      </c>
    </row>
    <row r="221" spans="1:2" ht="12.75">
      <c r="A221" s="204">
        <v>213</v>
      </c>
      <c r="B221" s="207">
        <v>0</v>
      </c>
    </row>
    <row r="222" spans="1:2" ht="12.75">
      <c r="A222" s="204">
        <v>214</v>
      </c>
      <c r="B222" s="207">
        <v>0</v>
      </c>
    </row>
    <row r="223" spans="1:2" ht="12.75">
      <c r="A223" s="204">
        <v>215</v>
      </c>
      <c r="B223" s="207">
        <v>0</v>
      </c>
    </row>
    <row r="224" spans="1:2" ht="12.75">
      <c r="A224" s="204">
        <v>216</v>
      </c>
      <c r="B224" s="207">
        <v>0</v>
      </c>
    </row>
    <row r="225" spans="1:2" ht="12.75">
      <c r="A225" s="204">
        <v>217</v>
      </c>
      <c r="B225" s="207">
        <v>0</v>
      </c>
    </row>
    <row r="226" spans="1:2" ht="12.75">
      <c r="A226" s="204">
        <v>218</v>
      </c>
      <c r="B226" s="207">
        <v>0</v>
      </c>
    </row>
    <row r="227" spans="1:2" ht="12.75">
      <c r="A227" s="204">
        <v>219</v>
      </c>
      <c r="B227" s="207">
        <v>0</v>
      </c>
    </row>
    <row r="228" spans="1:2" ht="12.75">
      <c r="A228" s="204">
        <v>220</v>
      </c>
      <c r="B228" s="207">
        <v>0</v>
      </c>
    </row>
    <row r="229" spans="1:2" ht="12.75">
      <c r="A229" s="204">
        <v>221</v>
      </c>
      <c r="B229" s="207">
        <v>0</v>
      </c>
    </row>
    <row r="230" spans="1:2" ht="12.75">
      <c r="A230" s="204">
        <v>222</v>
      </c>
      <c r="B230" s="207">
        <v>0</v>
      </c>
    </row>
    <row r="231" spans="1:2" ht="12.75">
      <c r="A231" s="204">
        <v>223</v>
      </c>
      <c r="B231" s="207">
        <v>0</v>
      </c>
    </row>
    <row r="232" spans="1:2" ht="12.75">
      <c r="A232" s="204">
        <v>224</v>
      </c>
      <c r="B232" s="207">
        <v>0</v>
      </c>
    </row>
    <row r="233" spans="1:2" ht="12.75">
      <c r="A233" s="204">
        <v>225</v>
      </c>
      <c r="B233" s="207">
        <v>0</v>
      </c>
    </row>
    <row r="234" spans="1:2" ht="12.75">
      <c r="A234" s="204">
        <v>226</v>
      </c>
      <c r="B234" s="207">
        <v>0</v>
      </c>
    </row>
    <row r="235" spans="1:2" ht="12.75">
      <c r="A235" s="204">
        <v>227</v>
      </c>
      <c r="B235" s="207">
        <v>0</v>
      </c>
    </row>
    <row r="236" spans="1:2" ht="12.75">
      <c r="A236" s="204">
        <v>228</v>
      </c>
      <c r="B236" s="207">
        <v>0</v>
      </c>
    </row>
    <row r="237" spans="1:2" ht="12.75">
      <c r="A237" s="204">
        <v>229</v>
      </c>
      <c r="B237" s="207">
        <v>0</v>
      </c>
    </row>
    <row r="238" spans="1:2" ht="12.75">
      <c r="A238" s="204">
        <v>230</v>
      </c>
      <c r="B238" s="207">
        <v>0</v>
      </c>
    </row>
    <row r="239" spans="1:2" ht="12.75">
      <c r="A239" s="204">
        <v>231</v>
      </c>
      <c r="B239" s="207">
        <v>0</v>
      </c>
    </row>
    <row r="240" spans="1:2" ht="12.75">
      <c r="A240" s="204">
        <v>232</v>
      </c>
      <c r="B240" s="207">
        <v>0</v>
      </c>
    </row>
    <row r="241" spans="1:2" ht="12.75">
      <c r="A241" s="204">
        <v>233</v>
      </c>
      <c r="B241" s="207">
        <v>0</v>
      </c>
    </row>
    <row r="242" spans="1:2" ht="12.75">
      <c r="A242" s="204">
        <v>234</v>
      </c>
      <c r="B242" s="207">
        <v>0</v>
      </c>
    </row>
    <row r="243" spans="1:2" ht="12.75">
      <c r="A243" s="204">
        <v>235</v>
      </c>
      <c r="B243" s="207">
        <v>0</v>
      </c>
    </row>
    <row r="244" spans="1:2" ht="12.75">
      <c r="A244" s="204">
        <v>236</v>
      </c>
      <c r="B244" s="207">
        <v>0</v>
      </c>
    </row>
    <row r="245" spans="1:2" ht="12.75">
      <c r="A245" s="204">
        <v>237</v>
      </c>
      <c r="B245" s="207">
        <v>0</v>
      </c>
    </row>
    <row r="246" spans="1:2" ht="12.75">
      <c r="A246" s="204">
        <v>238</v>
      </c>
      <c r="B246" s="207">
        <v>0</v>
      </c>
    </row>
    <row r="247" spans="1:2" ht="12.75">
      <c r="A247" s="204">
        <v>239</v>
      </c>
      <c r="B247" s="207">
        <v>0</v>
      </c>
    </row>
    <row r="248" spans="1:2" ht="12.75">
      <c r="A248" s="204">
        <v>240</v>
      </c>
      <c r="B248" s="207">
        <v>0</v>
      </c>
    </row>
    <row r="249" spans="1:2" ht="12.75">
      <c r="A249" s="204">
        <v>241</v>
      </c>
      <c r="B249" s="207">
        <v>0</v>
      </c>
    </row>
    <row r="250" spans="1:2" ht="12.75">
      <c r="A250" s="204">
        <v>242</v>
      </c>
      <c r="B250" s="207">
        <v>0</v>
      </c>
    </row>
    <row r="251" spans="1:2" ht="12.75">
      <c r="A251" s="204">
        <v>243</v>
      </c>
      <c r="B251" s="207">
        <v>0</v>
      </c>
    </row>
    <row r="252" spans="1:2" ht="12.75">
      <c r="A252" s="204">
        <v>244</v>
      </c>
      <c r="B252" s="207">
        <v>0</v>
      </c>
    </row>
    <row r="253" spans="1:2" ht="12.75">
      <c r="A253" s="204">
        <v>245</v>
      </c>
      <c r="B253" s="207">
        <v>0</v>
      </c>
    </row>
    <row r="254" spans="1:2" ht="12.75">
      <c r="A254" s="204">
        <v>246</v>
      </c>
      <c r="B254" s="207">
        <v>0</v>
      </c>
    </row>
    <row r="255" spans="1:2" ht="12.75">
      <c r="A255" s="204">
        <v>247</v>
      </c>
      <c r="B255" s="207">
        <v>0</v>
      </c>
    </row>
    <row r="256" spans="1:2" ht="12.75">
      <c r="A256" s="204">
        <v>248</v>
      </c>
      <c r="B256" s="207">
        <v>0</v>
      </c>
    </row>
    <row r="257" spans="1:2" ht="12.75">
      <c r="A257" s="204">
        <v>249</v>
      </c>
      <c r="B257" s="207">
        <v>0</v>
      </c>
    </row>
    <row r="258" spans="1:2" ht="12.75">
      <c r="A258" s="204">
        <v>250</v>
      </c>
      <c r="B258" s="207">
        <v>0</v>
      </c>
    </row>
    <row r="259" ht="12.75">
      <c r="B259" s="207"/>
    </row>
    <row r="260" ht="12.75">
      <c r="B260" s="207"/>
    </row>
    <row r="261" ht="12.75">
      <c r="B261" s="207"/>
    </row>
    <row r="262" ht="12.75">
      <c r="B262" s="207"/>
    </row>
    <row r="263" ht="12.75">
      <c r="B263" s="207"/>
    </row>
    <row r="264" ht="12.75">
      <c r="B264" s="207"/>
    </row>
    <row r="265" ht="12.75">
      <c r="B265" s="207"/>
    </row>
    <row r="266" ht="12.75">
      <c r="B266" s="207"/>
    </row>
    <row r="267" ht="12.75">
      <c r="B267" s="207"/>
    </row>
    <row r="268" ht="12.75">
      <c r="B268" s="207"/>
    </row>
    <row r="269" ht="12.75">
      <c r="B269" s="207"/>
    </row>
    <row r="270" ht="12.75">
      <c r="B270" s="207"/>
    </row>
    <row r="271" ht="12.75">
      <c r="B271" s="207"/>
    </row>
    <row r="272" ht="12.75">
      <c r="B272" s="207"/>
    </row>
    <row r="273" ht="12.75">
      <c r="B273" s="207"/>
    </row>
    <row r="274" ht="12.75">
      <c r="B274" s="207"/>
    </row>
    <row r="275" ht="12.75">
      <c r="B275" s="207"/>
    </row>
    <row r="276" ht="12.75">
      <c r="B276" s="207"/>
    </row>
    <row r="277" ht="12.75">
      <c r="B277" s="207"/>
    </row>
    <row r="278" ht="12.75">
      <c r="B278" s="207"/>
    </row>
    <row r="279" ht="12.75">
      <c r="B279" s="207"/>
    </row>
    <row r="280" ht="12.75">
      <c r="B280" s="207"/>
    </row>
    <row r="281" ht="12.75">
      <c r="B281" s="207"/>
    </row>
    <row r="282" ht="12.75">
      <c r="B282" s="207"/>
    </row>
    <row r="283" ht="12.75">
      <c r="B283" s="207"/>
    </row>
    <row r="284" ht="12.75">
      <c r="B284" s="207"/>
    </row>
    <row r="285" ht="12.75">
      <c r="B285" s="207"/>
    </row>
    <row r="286" ht="12.75">
      <c r="B286" s="207"/>
    </row>
    <row r="287" ht="12.75">
      <c r="B287" s="207"/>
    </row>
    <row r="288" ht="12.75">
      <c r="B288" s="207"/>
    </row>
    <row r="289" ht="12.75">
      <c r="B289" s="207"/>
    </row>
    <row r="290" ht="12.75">
      <c r="B290" s="207"/>
    </row>
    <row r="291" ht="12.75">
      <c r="B291" s="207"/>
    </row>
    <row r="292" ht="12.75">
      <c r="B292" s="207"/>
    </row>
    <row r="293" ht="12.75">
      <c r="B293" s="207"/>
    </row>
    <row r="294" ht="12.75">
      <c r="B294" s="207"/>
    </row>
    <row r="295" ht="12.75">
      <c r="B295" s="207"/>
    </row>
    <row r="296" ht="12.75">
      <c r="B296" s="207"/>
    </row>
    <row r="297" ht="12.75">
      <c r="B297" s="207"/>
    </row>
    <row r="298" ht="12.75">
      <c r="B298" s="207"/>
    </row>
    <row r="299" ht="12.75">
      <c r="B299" s="207"/>
    </row>
    <row r="300" ht="12.75">
      <c r="B300" s="207"/>
    </row>
    <row r="301" ht="12.75">
      <c r="B301" s="207"/>
    </row>
    <row r="302" ht="12.75">
      <c r="B302" s="207"/>
    </row>
    <row r="303" ht="12.75">
      <c r="B303" s="207"/>
    </row>
    <row r="304" ht="12.75">
      <c r="B304" s="207"/>
    </row>
    <row r="305" ht="12.75">
      <c r="B305" s="207"/>
    </row>
    <row r="306" ht="12.75">
      <c r="B306" s="207"/>
    </row>
    <row r="307" ht="12.75">
      <c r="B307" s="207"/>
    </row>
    <row r="308" ht="12.75">
      <c r="B308" s="207"/>
    </row>
    <row r="309" ht="12.75">
      <c r="B309" s="207"/>
    </row>
    <row r="310" ht="12.75">
      <c r="B310" s="207"/>
    </row>
    <row r="311" ht="12.75">
      <c r="B311" s="207"/>
    </row>
    <row r="312" ht="12.75">
      <c r="B312" s="207"/>
    </row>
    <row r="313" ht="12.75">
      <c r="B313" s="207"/>
    </row>
    <row r="314" ht="12.75">
      <c r="B314" s="207"/>
    </row>
    <row r="315" ht="12.75">
      <c r="B315" s="207"/>
    </row>
    <row r="316" ht="12.75">
      <c r="B316" s="207"/>
    </row>
    <row r="317" ht="12.75">
      <c r="B317" s="207"/>
    </row>
    <row r="318" ht="12.75">
      <c r="B318" s="207"/>
    </row>
    <row r="319" ht="12.75">
      <c r="B319" s="207"/>
    </row>
    <row r="320" ht="12.75">
      <c r="B320" s="207"/>
    </row>
    <row r="321" ht="12.75">
      <c r="B321" s="207"/>
    </row>
    <row r="322" ht="12.75">
      <c r="B322" s="207"/>
    </row>
    <row r="323" ht="12.75">
      <c r="B323" s="207"/>
    </row>
    <row r="324" ht="12.75">
      <c r="B324" s="207"/>
    </row>
    <row r="325" ht="12.75">
      <c r="B325" s="207"/>
    </row>
    <row r="326" ht="12.75">
      <c r="B326" s="207"/>
    </row>
    <row r="327" ht="12.75">
      <c r="B327" s="207"/>
    </row>
    <row r="328" ht="12.75">
      <c r="B328" s="207"/>
    </row>
    <row r="329" ht="12.75">
      <c r="B329" s="207"/>
    </row>
    <row r="330" ht="12.75">
      <c r="B330" s="207"/>
    </row>
    <row r="331" ht="12.75">
      <c r="B331" s="207"/>
    </row>
    <row r="332" ht="12.75">
      <c r="B332" s="207"/>
    </row>
    <row r="333" ht="12.75">
      <c r="B333" s="207"/>
    </row>
    <row r="334" ht="12.75">
      <c r="B334" s="207"/>
    </row>
    <row r="335" ht="12.75">
      <c r="B335" s="207"/>
    </row>
    <row r="336" ht="12.75">
      <c r="B336" s="207"/>
    </row>
    <row r="337" ht="12.75">
      <c r="B337" s="207"/>
    </row>
    <row r="338" ht="12.75">
      <c r="B338" s="207"/>
    </row>
    <row r="339" ht="12.75">
      <c r="B339" s="207"/>
    </row>
    <row r="340" ht="12.75">
      <c r="B340" s="207"/>
    </row>
    <row r="341" ht="12.75">
      <c r="B341" s="207"/>
    </row>
    <row r="342" ht="12.75">
      <c r="B342" s="207"/>
    </row>
    <row r="343" ht="12.75">
      <c r="B343" s="207"/>
    </row>
    <row r="344" ht="12.75">
      <c r="B344" s="207"/>
    </row>
    <row r="345" ht="12.75">
      <c r="B345" s="207"/>
    </row>
    <row r="346" ht="12.75">
      <c r="B346" s="207"/>
    </row>
    <row r="347" ht="12.75">
      <c r="B347" s="207"/>
    </row>
    <row r="348" ht="12.75">
      <c r="B348" s="207"/>
    </row>
    <row r="349" ht="12.75">
      <c r="B349" s="207"/>
    </row>
    <row r="350" ht="12.75">
      <c r="B350" s="207"/>
    </row>
    <row r="351" ht="12.75">
      <c r="B351" s="207"/>
    </row>
    <row r="352" ht="12.75">
      <c r="B352" s="207"/>
    </row>
    <row r="353" ht="12.75">
      <c r="B353" s="207"/>
    </row>
    <row r="354" ht="12.75">
      <c r="B354" s="207"/>
    </row>
    <row r="355" ht="12.75">
      <c r="B355" s="207"/>
    </row>
    <row r="356" ht="12.75">
      <c r="B356" s="207"/>
    </row>
    <row r="357" ht="12.75">
      <c r="B357" s="207"/>
    </row>
    <row r="358" ht="12.75">
      <c r="B358" s="207"/>
    </row>
    <row r="359" ht="12.75">
      <c r="B359" s="207"/>
    </row>
    <row r="360" ht="12.75">
      <c r="B360" s="207"/>
    </row>
    <row r="361" ht="12.75">
      <c r="B361" s="207"/>
    </row>
    <row r="362" ht="12.75">
      <c r="B362" s="207"/>
    </row>
    <row r="363" ht="12.75">
      <c r="B363" s="207"/>
    </row>
    <row r="364" ht="12.75">
      <c r="B364" s="207"/>
    </row>
    <row r="365" ht="12.75">
      <c r="B365" s="207"/>
    </row>
    <row r="366" ht="12.75">
      <c r="B366" s="207"/>
    </row>
    <row r="367" ht="12.75">
      <c r="B367" s="207"/>
    </row>
    <row r="368" ht="12.75">
      <c r="B368" s="207"/>
    </row>
    <row r="369" ht="12.75">
      <c r="B369" s="207"/>
    </row>
    <row r="370" ht="12.75">
      <c r="B370" s="207"/>
    </row>
    <row r="371" ht="12.75">
      <c r="B371" s="207"/>
    </row>
    <row r="372" ht="12.75">
      <c r="B372" s="207"/>
    </row>
    <row r="373" ht="12.75">
      <c r="B373" s="207"/>
    </row>
    <row r="374" ht="12.75">
      <c r="B374" s="207"/>
    </row>
    <row r="375" ht="12.75">
      <c r="B375" s="207"/>
    </row>
    <row r="376" ht="12.75">
      <c r="B376" s="207"/>
    </row>
    <row r="377" ht="12.75">
      <c r="B377" s="207"/>
    </row>
    <row r="378" ht="12.75">
      <c r="B378" s="207"/>
    </row>
    <row r="379" ht="12.75">
      <c r="B379" s="207"/>
    </row>
    <row r="380" ht="12.75">
      <c r="B380" s="207"/>
    </row>
    <row r="381" ht="12.75">
      <c r="B381" s="207"/>
    </row>
    <row r="382" ht="12.75">
      <c r="B382" s="207"/>
    </row>
    <row r="383" ht="12.75">
      <c r="B383" s="207"/>
    </row>
    <row r="384" ht="12.75">
      <c r="B384" s="207"/>
    </row>
    <row r="385" ht="12.75">
      <c r="B385" s="207"/>
    </row>
    <row r="386" ht="12.75">
      <c r="B386" s="207"/>
    </row>
    <row r="387" ht="12.75">
      <c r="B387" s="207"/>
    </row>
    <row r="388" ht="12.75">
      <c r="B388" s="207"/>
    </row>
    <row r="389" ht="12.75">
      <c r="B389" s="207"/>
    </row>
    <row r="390" ht="12.75">
      <c r="B390" s="207"/>
    </row>
    <row r="391" ht="12.75">
      <c r="B391" s="207"/>
    </row>
    <row r="392" ht="12.75">
      <c r="B392" s="207"/>
    </row>
    <row r="393" ht="12.75">
      <c r="B393" s="207"/>
    </row>
    <row r="394" ht="12.75">
      <c r="B394" s="207"/>
    </row>
    <row r="395" ht="12.75">
      <c r="B395" s="207"/>
    </row>
    <row r="396" ht="12.75">
      <c r="B396" s="207"/>
    </row>
    <row r="397" ht="12.75">
      <c r="B397" s="207"/>
    </row>
    <row r="398" ht="12.75">
      <c r="B398" s="207"/>
    </row>
    <row r="399" ht="12.75">
      <c r="B399" s="207"/>
    </row>
    <row r="400" ht="12.75">
      <c r="B400" s="207"/>
    </row>
    <row r="401" ht="12.75">
      <c r="B401" s="207"/>
    </row>
    <row r="402" ht="12.75">
      <c r="B402" s="207"/>
    </row>
    <row r="403" ht="12.75">
      <c r="B403" s="207"/>
    </row>
    <row r="404" ht="12.75">
      <c r="B404" s="207"/>
    </row>
    <row r="405" ht="12.75">
      <c r="B405" s="207"/>
    </row>
    <row r="406" ht="12.75">
      <c r="B406" s="207"/>
    </row>
    <row r="407" ht="12.75">
      <c r="B407" s="207"/>
    </row>
    <row r="408" ht="12.75">
      <c r="B408" s="207"/>
    </row>
    <row r="409" ht="12.75">
      <c r="B409" s="207"/>
    </row>
    <row r="410" ht="12.75">
      <c r="B410" s="207"/>
    </row>
    <row r="411" ht="12.75">
      <c r="B411" s="207"/>
    </row>
    <row r="412" ht="12.75">
      <c r="B412" s="207"/>
    </row>
    <row r="413" ht="12.75">
      <c r="B413" s="207"/>
    </row>
    <row r="414" ht="12.75">
      <c r="B414" s="207"/>
    </row>
    <row r="415" ht="12.75">
      <c r="B415" s="207"/>
    </row>
    <row r="416" ht="12.75">
      <c r="B416" s="207"/>
    </row>
    <row r="417" ht="12.75">
      <c r="B417" s="207"/>
    </row>
    <row r="418" ht="12.75">
      <c r="B418" s="207"/>
    </row>
    <row r="419" ht="12.75">
      <c r="B419" s="207"/>
    </row>
    <row r="420" ht="12.75">
      <c r="B420" s="207"/>
    </row>
    <row r="421" ht="12.75">
      <c r="B421" s="207"/>
    </row>
    <row r="422" ht="12.75">
      <c r="B422" s="207"/>
    </row>
    <row r="423" ht="12.75">
      <c r="B423" s="207"/>
    </row>
    <row r="424" ht="12.75">
      <c r="B424" s="207"/>
    </row>
    <row r="425" ht="12.75">
      <c r="B425" s="207"/>
    </row>
    <row r="426" ht="12.75">
      <c r="B426" s="207"/>
    </row>
    <row r="427" ht="12.75">
      <c r="B427" s="207"/>
    </row>
    <row r="428" ht="12.75">
      <c r="B428" s="207"/>
    </row>
    <row r="429" ht="12.75">
      <c r="B429" s="207"/>
    </row>
    <row r="430" ht="12.75">
      <c r="B430" s="207"/>
    </row>
    <row r="431" ht="12.75">
      <c r="B431" s="207"/>
    </row>
    <row r="432" ht="12.75">
      <c r="B432" s="207"/>
    </row>
    <row r="433" ht="12.75">
      <c r="B433" s="207"/>
    </row>
    <row r="434" ht="12.75">
      <c r="B434" s="207"/>
    </row>
    <row r="435" ht="12.75">
      <c r="B435" s="207"/>
    </row>
    <row r="436" ht="12.75">
      <c r="B436" s="207"/>
    </row>
    <row r="437" ht="12.75">
      <c r="B437" s="207"/>
    </row>
    <row r="438" ht="12.75">
      <c r="B438" s="207"/>
    </row>
    <row r="439" ht="12.75">
      <c r="B439" s="207"/>
    </row>
    <row r="440" ht="12.75">
      <c r="B440" s="207"/>
    </row>
    <row r="441" ht="12.75">
      <c r="B441" s="207"/>
    </row>
    <row r="442" ht="12.75">
      <c r="B442" s="207"/>
    </row>
    <row r="443" ht="12.75">
      <c r="B443" s="207"/>
    </row>
    <row r="444" ht="12.75">
      <c r="B444" s="207"/>
    </row>
    <row r="445" ht="12.75">
      <c r="B445" s="207"/>
    </row>
    <row r="446" ht="12.75">
      <c r="B446" s="207"/>
    </row>
    <row r="447" ht="12.75">
      <c r="B447" s="207"/>
    </row>
    <row r="448" ht="12.75">
      <c r="B448" s="207"/>
    </row>
    <row r="449" ht="12.75">
      <c r="B449" s="207"/>
    </row>
    <row r="450" ht="12.75">
      <c r="B450" s="207"/>
    </row>
    <row r="451" ht="12.75">
      <c r="B451" s="207"/>
    </row>
    <row r="452" ht="12.75">
      <c r="B452" s="207"/>
    </row>
    <row r="453" ht="12.75">
      <c r="B453" s="207"/>
    </row>
    <row r="454" ht="12.75">
      <c r="B454" s="207"/>
    </row>
    <row r="455" ht="12.75">
      <c r="B455" s="207"/>
    </row>
    <row r="456" ht="12.75">
      <c r="B456" s="207"/>
    </row>
    <row r="457" ht="12.75">
      <c r="B457" s="207"/>
    </row>
    <row r="458" ht="12.75">
      <c r="B458" s="207"/>
    </row>
    <row r="459" ht="12.75">
      <c r="B459" s="207"/>
    </row>
    <row r="460" ht="12.75">
      <c r="B460" s="207"/>
    </row>
    <row r="461" ht="12.75">
      <c r="B461" s="207"/>
    </row>
    <row r="462" ht="12.75">
      <c r="B462" s="207"/>
    </row>
    <row r="463" ht="12.75">
      <c r="B463" s="207"/>
    </row>
    <row r="464" ht="12.75">
      <c r="B464" s="207"/>
    </row>
    <row r="465" ht="12.75">
      <c r="B465" s="207"/>
    </row>
    <row r="466" ht="12.75">
      <c r="B466" s="207"/>
    </row>
    <row r="467" ht="12.75">
      <c r="B467" s="207"/>
    </row>
    <row r="468" ht="12.75">
      <c r="B468" s="207"/>
    </row>
    <row r="469" ht="12.75">
      <c r="B469" s="207"/>
    </row>
    <row r="470" ht="12.75">
      <c r="B470" s="207"/>
    </row>
    <row r="471" ht="12.75">
      <c r="B471" s="207"/>
    </row>
    <row r="472" ht="12.75">
      <c r="B472" s="207"/>
    </row>
    <row r="473" ht="12.75">
      <c r="B473" s="207"/>
    </row>
    <row r="474" ht="12.75">
      <c r="B474" s="207"/>
    </row>
    <row r="475" ht="12.75">
      <c r="B475" s="207"/>
    </row>
    <row r="476" ht="12.75">
      <c r="B476" s="207"/>
    </row>
    <row r="477" ht="12.75">
      <c r="B477" s="207"/>
    </row>
    <row r="478" ht="12.75">
      <c r="B478" s="207"/>
    </row>
    <row r="479" ht="12.75">
      <c r="B479" s="207"/>
    </row>
    <row r="480" ht="12.75">
      <c r="B480" s="207"/>
    </row>
    <row r="481" ht="12.75">
      <c r="B481" s="207"/>
    </row>
    <row r="482" ht="12.75">
      <c r="B482" s="207"/>
    </row>
    <row r="483" ht="12.75">
      <c r="B483" s="207"/>
    </row>
    <row r="484" ht="12.75">
      <c r="B484" s="207"/>
    </row>
    <row r="485" ht="12.75">
      <c r="B485" s="207"/>
    </row>
    <row r="486" ht="12.75">
      <c r="B486" s="207"/>
    </row>
    <row r="487" ht="12.75">
      <c r="B487" s="207"/>
    </row>
    <row r="488" ht="12.75">
      <c r="B488" s="207"/>
    </row>
    <row r="489" ht="12.75">
      <c r="B489" s="207"/>
    </row>
    <row r="490" ht="12.75">
      <c r="B490" s="207"/>
    </row>
    <row r="491" ht="12.75">
      <c r="B491" s="207"/>
    </row>
    <row r="492" ht="12.75">
      <c r="B492" s="207"/>
    </row>
    <row r="493" ht="12.75">
      <c r="B493" s="207"/>
    </row>
    <row r="494" ht="12.75">
      <c r="B494" s="207"/>
    </row>
    <row r="495" ht="12.75">
      <c r="B495" s="207"/>
    </row>
    <row r="496" ht="12.75">
      <c r="B496" s="207"/>
    </row>
    <row r="497" ht="12.75">
      <c r="B497" s="207"/>
    </row>
    <row r="498" ht="12.75">
      <c r="B498" s="207"/>
    </row>
    <row r="499" ht="12.75">
      <c r="B499" s="207"/>
    </row>
    <row r="500" ht="12.75">
      <c r="B500" s="207"/>
    </row>
    <row r="501" ht="12.75">
      <c r="B501" s="207"/>
    </row>
    <row r="502" ht="12.75">
      <c r="B502" s="207"/>
    </row>
    <row r="503" ht="12.75">
      <c r="B503" s="207"/>
    </row>
    <row r="504" ht="12.75">
      <c r="B504" s="207"/>
    </row>
    <row r="505" ht="12.75">
      <c r="B505" s="207"/>
    </row>
    <row r="506" ht="12.75">
      <c r="B506" s="207"/>
    </row>
    <row r="507" ht="12.75">
      <c r="B507" s="207"/>
    </row>
    <row r="508" ht="12.75">
      <c r="B508" s="207"/>
    </row>
    <row r="509" ht="12.75">
      <c r="B509" s="207"/>
    </row>
    <row r="510" ht="12.75">
      <c r="B510" s="207"/>
    </row>
    <row r="511" ht="12.75">
      <c r="B511" s="207"/>
    </row>
    <row r="512" ht="12.75">
      <c r="B512" s="207"/>
    </row>
    <row r="513" ht="12.75">
      <c r="B513" s="207"/>
    </row>
    <row r="514" ht="12.75">
      <c r="B514" s="207"/>
    </row>
    <row r="515" ht="12.75">
      <c r="B515" s="207"/>
    </row>
    <row r="516" ht="12.75">
      <c r="B516" s="207"/>
    </row>
    <row r="517" ht="12.75">
      <c r="B517" s="207"/>
    </row>
    <row r="518" ht="12.75">
      <c r="B518" s="207"/>
    </row>
    <row r="519" ht="12.75">
      <c r="B519" s="207"/>
    </row>
    <row r="520" ht="12.75">
      <c r="B520" s="207"/>
    </row>
    <row r="521" ht="12.75">
      <c r="B521" s="207"/>
    </row>
    <row r="522" ht="12.75">
      <c r="B522" s="207"/>
    </row>
    <row r="523" ht="12.75">
      <c r="B523" s="207"/>
    </row>
    <row r="524" ht="12.75">
      <c r="B524" s="207"/>
    </row>
    <row r="525" ht="12.75">
      <c r="B525" s="207"/>
    </row>
    <row r="526" ht="12.75">
      <c r="B526" s="207"/>
    </row>
    <row r="527" ht="12.75">
      <c r="B527" s="207"/>
    </row>
    <row r="528" ht="12.75">
      <c r="B528" s="207"/>
    </row>
    <row r="529" ht="12.75">
      <c r="B529" s="207"/>
    </row>
    <row r="530" ht="12.75">
      <c r="B530" s="207"/>
    </row>
    <row r="531" ht="12.75">
      <c r="B531" s="207"/>
    </row>
    <row r="532" ht="12.75">
      <c r="B532" s="207"/>
    </row>
    <row r="533" ht="12.75">
      <c r="B533" s="207"/>
    </row>
    <row r="534" ht="12.75">
      <c r="B534" s="207"/>
    </row>
    <row r="535" ht="12.75">
      <c r="B535" s="207"/>
    </row>
    <row r="536" ht="12.75">
      <c r="B536" s="207"/>
    </row>
    <row r="537" ht="12.75">
      <c r="B537" s="207"/>
    </row>
    <row r="538" ht="12.75">
      <c r="B538" s="207"/>
    </row>
    <row r="539" ht="12.75">
      <c r="B539" s="207"/>
    </row>
    <row r="540" ht="12.75">
      <c r="B540" s="207"/>
    </row>
    <row r="541" ht="12.75">
      <c r="B541" s="207"/>
    </row>
    <row r="542" ht="12.75">
      <c r="B542" s="207"/>
    </row>
    <row r="543" ht="12.75">
      <c r="B543" s="207"/>
    </row>
    <row r="544" ht="12.75">
      <c r="B544" s="207"/>
    </row>
    <row r="545" ht="12.75">
      <c r="B545" s="207"/>
    </row>
    <row r="546" ht="12.75">
      <c r="B546" s="207"/>
    </row>
    <row r="547" ht="12.75">
      <c r="B547" s="207"/>
    </row>
    <row r="548" ht="12.75">
      <c r="B548" s="207"/>
    </row>
    <row r="549" ht="12.75">
      <c r="B549" s="207"/>
    </row>
    <row r="550" ht="12.75">
      <c r="B550" s="207"/>
    </row>
    <row r="551" ht="12.75">
      <c r="B551" s="207"/>
    </row>
    <row r="552" ht="12.75">
      <c r="B552" s="207"/>
    </row>
    <row r="553" ht="12.75">
      <c r="B553" s="207"/>
    </row>
    <row r="554" ht="12.75">
      <c r="B554" s="207"/>
    </row>
    <row r="555" ht="12.75">
      <c r="B555" s="207"/>
    </row>
    <row r="556" ht="12.75">
      <c r="B556" s="207"/>
    </row>
    <row r="557" ht="12.75">
      <c r="B557" s="207"/>
    </row>
    <row r="558" ht="12.75">
      <c r="B558" s="207"/>
    </row>
    <row r="559" ht="12.75">
      <c r="B559" s="207"/>
    </row>
    <row r="560" ht="12.75">
      <c r="B560" s="207"/>
    </row>
    <row r="561" ht="12.75">
      <c r="B561" s="207"/>
    </row>
    <row r="562" ht="12.75">
      <c r="B562" s="207"/>
    </row>
    <row r="563" ht="12.75">
      <c r="B563" s="207"/>
    </row>
    <row r="564" ht="12.75">
      <c r="B564" s="207"/>
    </row>
    <row r="565" ht="12.75">
      <c r="B565" s="207"/>
    </row>
    <row r="566" ht="12.75">
      <c r="B566" s="207"/>
    </row>
    <row r="567" ht="12.75">
      <c r="B567" s="207"/>
    </row>
    <row r="568" ht="12.75">
      <c r="B568" s="207"/>
    </row>
    <row r="569" ht="12.75">
      <c r="B569" s="207"/>
    </row>
    <row r="570" ht="12.75">
      <c r="B570" s="207"/>
    </row>
    <row r="571" ht="12.75">
      <c r="B571" s="207"/>
    </row>
    <row r="572" ht="12.75">
      <c r="B572" s="207"/>
    </row>
    <row r="573" ht="12.75">
      <c r="B573" s="207"/>
    </row>
    <row r="574" ht="12.75">
      <c r="B574" s="207"/>
    </row>
    <row r="575" ht="12.75">
      <c r="B575" s="207"/>
    </row>
    <row r="576" ht="12.75">
      <c r="B576" s="207"/>
    </row>
    <row r="577" ht="12.75">
      <c r="B577" s="207"/>
    </row>
    <row r="578" ht="12.75">
      <c r="B578" s="207"/>
    </row>
    <row r="579" ht="12.75">
      <c r="B579" s="207"/>
    </row>
    <row r="580" ht="12.75">
      <c r="B580" s="207"/>
    </row>
    <row r="581" ht="12.75">
      <c r="B581" s="207"/>
    </row>
    <row r="582" ht="12.75">
      <c r="B582" s="207"/>
    </row>
    <row r="583" ht="12.75">
      <c r="B583" s="207"/>
    </row>
    <row r="584" ht="12.75">
      <c r="B584" s="207"/>
    </row>
    <row r="585" ht="12.75">
      <c r="B585" s="207"/>
    </row>
    <row r="586" ht="12.75">
      <c r="B586" s="207"/>
    </row>
    <row r="587" ht="12.75">
      <c r="B587" s="207"/>
    </row>
    <row r="588" ht="12.75">
      <c r="B588" s="207"/>
    </row>
    <row r="589" ht="12.75">
      <c r="B589" s="207"/>
    </row>
    <row r="590" ht="12.75">
      <c r="B590" s="207"/>
    </row>
    <row r="591" ht="12.75">
      <c r="B591" s="207"/>
    </row>
    <row r="592" ht="12.75">
      <c r="B592" s="207"/>
    </row>
    <row r="593" ht="12.75">
      <c r="B593" s="207"/>
    </row>
    <row r="594" ht="12.75">
      <c r="B594" s="207"/>
    </row>
    <row r="595" ht="12.75">
      <c r="B595" s="207"/>
    </row>
    <row r="596" ht="12.75">
      <c r="B596" s="207"/>
    </row>
    <row r="597" ht="12.75">
      <c r="B597" s="207"/>
    </row>
    <row r="598" ht="12.75">
      <c r="B598" s="207"/>
    </row>
    <row r="599" ht="12.75">
      <c r="B599" s="207"/>
    </row>
    <row r="600" ht="12.75">
      <c r="B600" s="207"/>
    </row>
    <row r="601" ht="12.75">
      <c r="B601" s="207"/>
    </row>
    <row r="602" ht="12.75">
      <c r="B602" s="207"/>
    </row>
    <row r="603" ht="12.75">
      <c r="B603" s="207"/>
    </row>
    <row r="604" ht="12.75">
      <c r="B604" s="207"/>
    </row>
    <row r="605" ht="12.75">
      <c r="B605" s="207"/>
    </row>
    <row r="606" ht="12.75">
      <c r="B606" s="207"/>
    </row>
    <row r="607" ht="12.75">
      <c r="B607" s="207"/>
    </row>
    <row r="608" ht="12.75">
      <c r="B608" s="207"/>
    </row>
    <row r="609" ht="12.75">
      <c r="B609" s="207"/>
    </row>
    <row r="610" ht="12.75">
      <c r="B610" s="207"/>
    </row>
    <row r="611" ht="12.75">
      <c r="B611" s="207"/>
    </row>
    <row r="612" ht="12.75">
      <c r="B612" s="207"/>
    </row>
    <row r="613" ht="12.75">
      <c r="B613" s="207"/>
    </row>
    <row r="614" ht="12.75">
      <c r="B614" s="207"/>
    </row>
    <row r="615" ht="12.75">
      <c r="B615" s="207"/>
    </row>
    <row r="616" ht="12.75">
      <c r="B616" s="207"/>
    </row>
    <row r="617" ht="12.75">
      <c r="B617" s="207"/>
    </row>
    <row r="618" ht="12.75">
      <c r="B618" s="207"/>
    </row>
    <row r="619" ht="12.75">
      <c r="B619" s="207"/>
    </row>
    <row r="620" ht="12.75">
      <c r="B620" s="207"/>
    </row>
    <row r="621" ht="12.75">
      <c r="B621" s="207"/>
    </row>
    <row r="622" ht="12.75">
      <c r="B622" s="207"/>
    </row>
    <row r="623" ht="12.75">
      <c r="B623" s="207"/>
    </row>
    <row r="624" ht="12.75">
      <c r="B624" s="207"/>
    </row>
    <row r="625" ht="12.75">
      <c r="B625" s="207"/>
    </row>
    <row r="626" ht="12.75">
      <c r="B626" s="207"/>
    </row>
    <row r="627" ht="12.75">
      <c r="B627" s="207"/>
    </row>
    <row r="628" ht="12.75">
      <c r="B628" s="207"/>
    </row>
    <row r="629" ht="12.75">
      <c r="B629" s="207"/>
    </row>
    <row r="630" ht="12.75">
      <c r="B630" s="207"/>
    </row>
    <row r="631" ht="12.75">
      <c r="B631" s="207"/>
    </row>
    <row r="632" ht="12.75">
      <c r="B632" s="207"/>
    </row>
    <row r="633" ht="12.75">
      <c r="B633" s="207"/>
    </row>
    <row r="634" ht="12.75">
      <c r="B634" s="207"/>
    </row>
    <row r="635" ht="12.75">
      <c r="B635" s="207"/>
    </row>
    <row r="636" ht="12.75">
      <c r="B636" s="207"/>
    </row>
    <row r="637" ht="12.75">
      <c r="B637" s="207"/>
    </row>
    <row r="638" ht="12.75">
      <c r="B638" s="207"/>
    </row>
    <row r="639" ht="12.75">
      <c r="B639" s="207"/>
    </row>
    <row r="640" ht="12.75">
      <c r="B640" s="207"/>
    </row>
    <row r="641" ht="12.75">
      <c r="B641" s="207"/>
    </row>
    <row r="642" ht="12.75">
      <c r="B642" s="207"/>
    </row>
    <row r="643" ht="12.75">
      <c r="B643" s="207"/>
    </row>
    <row r="644" ht="12.75">
      <c r="B644" s="207"/>
    </row>
    <row r="645" ht="12.75">
      <c r="B645" s="207"/>
    </row>
    <row r="646" ht="12.75">
      <c r="B646" s="207"/>
    </row>
    <row r="647" ht="12.75">
      <c r="B647" s="207"/>
    </row>
    <row r="648" ht="12.75">
      <c r="B648" s="207"/>
    </row>
    <row r="649" ht="12.75">
      <c r="B649" s="207"/>
    </row>
    <row r="650" ht="12.75">
      <c r="B650" s="207"/>
    </row>
    <row r="651" ht="12.75">
      <c r="B651" s="207"/>
    </row>
    <row r="652" ht="12.75">
      <c r="B652" s="207"/>
    </row>
    <row r="653" ht="12.75">
      <c r="B653" s="207"/>
    </row>
    <row r="654" ht="12.75">
      <c r="B654" s="207"/>
    </row>
    <row r="655" ht="12.75">
      <c r="B655" s="207"/>
    </row>
    <row r="656" ht="12.75">
      <c r="B656" s="207"/>
    </row>
    <row r="657" ht="12.75">
      <c r="B657" s="207"/>
    </row>
    <row r="658" ht="12.75">
      <c r="B658" s="207"/>
    </row>
    <row r="659" ht="12.75">
      <c r="B659" s="207"/>
    </row>
    <row r="660" ht="12.75">
      <c r="B660" s="207"/>
    </row>
    <row r="661" ht="12.75">
      <c r="B661" s="207"/>
    </row>
    <row r="662" ht="12.75">
      <c r="B662" s="207"/>
    </row>
    <row r="663" ht="12.75">
      <c r="B663" s="207"/>
    </row>
    <row r="664" ht="12.75">
      <c r="B664" s="207"/>
    </row>
    <row r="665" ht="12.75">
      <c r="B665" s="207"/>
    </row>
    <row r="666" ht="12.75">
      <c r="B666" s="207"/>
    </row>
    <row r="667" ht="12.75">
      <c r="B667" s="207"/>
    </row>
    <row r="668" ht="12.75">
      <c r="B668" s="207"/>
    </row>
    <row r="669" ht="12.75">
      <c r="B669" s="207"/>
    </row>
    <row r="670" ht="12.75">
      <c r="B670" s="207"/>
    </row>
    <row r="671" ht="12.75">
      <c r="B671" s="207"/>
    </row>
    <row r="672" ht="12.75">
      <c r="B672" s="207"/>
    </row>
    <row r="673" ht="12.75">
      <c r="B673" s="207"/>
    </row>
    <row r="674" ht="12.75">
      <c r="B674" s="207"/>
    </row>
    <row r="675" ht="12.75">
      <c r="B675" s="207"/>
    </row>
    <row r="676" ht="12.75">
      <c r="B676" s="207"/>
    </row>
    <row r="677" ht="12.75">
      <c r="B677" s="207"/>
    </row>
    <row r="678" ht="12.75">
      <c r="B678" s="207"/>
    </row>
    <row r="679" ht="12.75">
      <c r="B679" s="207"/>
    </row>
    <row r="680" ht="12.75">
      <c r="B680" s="207"/>
    </row>
    <row r="681" ht="12.75">
      <c r="B681" s="207"/>
    </row>
    <row r="682" ht="12.75">
      <c r="B682" s="207"/>
    </row>
    <row r="683" ht="12.75">
      <c r="B683" s="207"/>
    </row>
    <row r="684" ht="12.75">
      <c r="B684" s="207"/>
    </row>
    <row r="685" ht="12.75">
      <c r="B685" s="207"/>
    </row>
    <row r="686" ht="12.75">
      <c r="B686" s="207"/>
    </row>
    <row r="687" ht="12.75">
      <c r="B687" s="207"/>
    </row>
    <row r="688" ht="12.75">
      <c r="B688" s="207"/>
    </row>
    <row r="689" ht="12.75">
      <c r="B689" s="207"/>
    </row>
    <row r="690" ht="12.75">
      <c r="B690" s="207"/>
    </row>
    <row r="691" ht="12.75">
      <c r="B691" s="207"/>
    </row>
    <row r="692" ht="12.75">
      <c r="B692" s="207"/>
    </row>
    <row r="693" ht="12.75">
      <c r="B693" s="207"/>
    </row>
    <row r="694" ht="12.75">
      <c r="B694" s="207"/>
    </row>
    <row r="695" ht="12.75">
      <c r="B695" s="207"/>
    </row>
    <row r="696" ht="12.75">
      <c r="B696" s="207"/>
    </row>
    <row r="697" ht="12.75">
      <c r="B697" s="207"/>
    </row>
    <row r="698" ht="12.75">
      <c r="B698" s="207"/>
    </row>
    <row r="699" ht="12.75">
      <c r="B699" s="207"/>
    </row>
    <row r="700" ht="12.75">
      <c r="B700" s="207"/>
    </row>
    <row r="701" ht="12.75">
      <c r="B701" s="207"/>
    </row>
    <row r="702" ht="12.75">
      <c r="B702" s="207"/>
    </row>
    <row r="703" ht="12.75">
      <c r="B703" s="207"/>
    </row>
    <row r="704" ht="12.75">
      <c r="B704" s="207"/>
    </row>
    <row r="705" ht="12.75">
      <c r="B705" s="207"/>
    </row>
    <row r="706" ht="12.75">
      <c r="B706" s="207"/>
    </row>
    <row r="707" ht="12.75">
      <c r="B707" s="207"/>
    </row>
    <row r="708" ht="12.75">
      <c r="B708" s="207"/>
    </row>
    <row r="709" ht="12.75">
      <c r="B709" s="207"/>
    </row>
    <row r="710" ht="12.75">
      <c r="B710" s="207"/>
    </row>
    <row r="711" ht="12.75">
      <c r="B711" s="207"/>
    </row>
    <row r="712" ht="12.75">
      <c r="B712" s="207"/>
    </row>
    <row r="713" ht="12.75">
      <c r="B713" s="207"/>
    </row>
    <row r="714" ht="12.75">
      <c r="B714" s="207"/>
    </row>
    <row r="715" ht="12.75">
      <c r="B715" s="207"/>
    </row>
    <row r="716" ht="12.75">
      <c r="B716" s="207"/>
    </row>
    <row r="717" ht="12.75">
      <c r="B717" s="207"/>
    </row>
    <row r="718" ht="12.75">
      <c r="B718" s="207"/>
    </row>
    <row r="719" ht="12.75">
      <c r="B719" s="207"/>
    </row>
    <row r="720" ht="12.75">
      <c r="B720" s="207"/>
    </row>
    <row r="721" ht="12.75">
      <c r="B721" s="207"/>
    </row>
    <row r="722" ht="12.75">
      <c r="B722" s="207"/>
    </row>
    <row r="723" ht="12.75">
      <c r="B723" s="207"/>
    </row>
    <row r="724" ht="12.75">
      <c r="B724" s="207"/>
    </row>
    <row r="725" ht="12.75">
      <c r="B725" s="207"/>
    </row>
    <row r="726" ht="12.75">
      <c r="B726" s="207"/>
    </row>
    <row r="727" ht="12.75">
      <c r="B727" s="207"/>
    </row>
    <row r="728" ht="12.75">
      <c r="B728" s="207"/>
    </row>
    <row r="729" ht="12.75">
      <c r="B729" s="207"/>
    </row>
    <row r="730" ht="12.75">
      <c r="B730" s="207"/>
    </row>
    <row r="731" ht="12.75">
      <c r="B731" s="207"/>
    </row>
    <row r="732" ht="12.75">
      <c r="B732" s="207"/>
    </row>
    <row r="733" ht="12.75">
      <c r="B733" s="207"/>
    </row>
    <row r="734" ht="12.75">
      <c r="B734" s="207"/>
    </row>
    <row r="735" ht="12.75">
      <c r="B735" s="207"/>
    </row>
    <row r="736" ht="12.75">
      <c r="B736" s="207"/>
    </row>
    <row r="737" ht="12.75">
      <c r="B737" s="207"/>
    </row>
    <row r="738" ht="12.75">
      <c r="B738" s="207"/>
    </row>
    <row r="739" ht="12.75">
      <c r="B739" s="207"/>
    </row>
    <row r="740" ht="12.75">
      <c r="B740" s="207"/>
    </row>
    <row r="741" ht="12.75">
      <c r="B741" s="207"/>
    </row>
    <row r="742" ht="12.75">
      <c r="B742" s="207"/>
    </row>
    <row r="743" ht="12.75">
      <c r="B743" s="207"/>
    </row>
    <row r="744" ht="12.75">
      <c r="B744" s="207"/>
    </row>
    <row r="745" ht="12.75">
      <c r="B745" s="207"/>
    </row>
    <row r="746" ht="12.75">
      <c r="B746" s="207"/>
    </row>
    <row r="747" ht="12.75">
      <c r="B747" s="207"/>
    </row>
    <row r="748" ht="12.75">
      <c r="B748" s="207"/>
    </row>
    <row r="749" ht="12.75">
      <c r="B749" s="207"/>
    </row>
    <row r="750" ht="12.75">
      <c r="B750" s="207"/>
    </row>
    <row r="751" ht="12.75">
      <c r="B751" s="207"/>
    </row>
    <row r="752" ht="12.75">
      <c r="B752" s="207"/>
    </row>
    <row r="753" ht="12.75">
      <c r="B753" s="207"/>
    </row>
    <row r="754" ht="12.75">
      <c r="B754" s="207"/>
    </row>
    <row r="755" ht="12.75">
      <c r="B755" s="207"/>
    </row>
    <row r="756" ht="12.75">
      <c r="B756" s="207"/>
    </row>
    <row r="757" ht="12.75">
      <c r="B757" s="207"/>
    </row>
    <row r="758" ht="12.75">
      <c r="B758" s="207"/>
    </row>
    <row r="759" ht="12.75">
      <c r="B759" s="207"/>
    </row>
    <row r="760" ht="12.75">
      <c r="B760" s="207"/>
    </row>
    <row r="761" ht="12.75">
      <c r="B761" s="207"/>
    </row>
    <row r="762" ht="12.75">
      <c r="B762" s="207"/>
    </row>
    <row r="763" ht="12.75">
      <c r="B763" s="207"/>
    </row>
    <row r="764" ht="12.75">
      <c r="B764" s="207"/>
    </row>
    <row r="765" ht="12.75">
      <c r="B765" s="207"/>
    </row>
    <row r="766" ht="12.75">
      <c r="B766" s="207"/>
    </row>
    <row r="767" ht="12.75">
      <c r="B767" s="207"/>
    </row>
    <row r="768" ht="12.75">
      <c r="B768" s="207"/>
    </row>
    <row r="769" ht="12.75">
      <c r="B769" s="207"/>
    </row>
    <row r="770" ht="12.75">
      <c r="B770" s="207"/>
    </row>
    <row r="771" ht="12.75">
      <c r="B771" s="207"/>
    </row>
    <row r="772" ht="12.75">
      <c r="B772" s="207"/>
    </row>
    <row r="773" ht="12.75">
      <c r="B773" s="207"/>
    </row>
    <row r="774" ht="12.75">
      <c r="B774" s="207"/>
    </row>
    <row r="775" ht="12.75">
      <c r="B775" s="207"/>
    </row>
    <row r="776" ht="12.75">
      <c r="B776" s="207"/>
    </row>
    <row r="777" ht="12.75">
      <c r="B777" s="207"/>
    </row>
    <row r="778" ht="12.75">
      <c r="B778" s="207"/>
    </row>
    <row r="779" ht="12.75">
      <c r="B779" s="207"/>
    </row>
    <row r="780" ht="12.75">
      <c r="B780" s="207"/>
    </row>
    <row r="781" ht="12.75">
      <c r="B781" s="207"/>
    </row>
    <row r="782" ht="12.75">
      <c r="B782" s="207"/>
    </row>
    <row r="783" ht="12.75">
      <c r="B783" s="207"/>
    </row>
    <row r="784" ht="12.75">
      <c r="B784" s="207"/>
    </row>
    <row r="785" ht="12.75">
      <c r="B785" s="207"/>
    </row>
    <row r="786" ht="12.75">
      <c r="B786" s="207"/>
    </row>
    <row r="787" ht="12.75">
      <c r="B787" s="207"/>
    </row>
    <row r="788" ht="12.75">
      <c r="B788" s="207"/>
    </row>
    <row r="789" ht="12.75">
      <c r="B789" s="207"/>
    </row>
    <row r="790" ht="12.75">
      <c r="B790" s="207"/>
    </row>
    <row r="791" ht="12.75">
      <c r="B791" s="207"/>
    </row>
    <row r="792" ht="12.75">
      <c r="B792" s="207"/>
    </row>
    <row r="793" ht="12.75">
      <c r="B793" s="207"/>
    </row>
    <row r="794" ht="12.75">
      <c r="B794" s="207"/>
    </row>
    <row r="795" ht="12.75">
      <c r="B795" s="207"/>
    </row>
    <row r="796" ht="12.75">
      <c r="B796" s="207"/>
    </row>
    <row r="797" ht="12.75">
      <c r="B797" s="207"/>
    </row>
    <row r="798" ht="12.75">
      <c r="B798" s="207"/>
    </row>
    <row r="799" ht="12.75">
      <c r="B799" s="207"/>
    </row>
    <row r="800" ht="12.75">
      <c r="B800" s="207"/>
    </row>
    <row r="801" ht="12.75">
      <c r="B801" s="207"/>
    </row>
    <row r="802" ht="12.75">
      <c r="B802" s="207"/>
    </row>
    <row r="803" ht="12.75">
      <c r="B803" s="207"/>
    </row>
    <row r="804" ht="12.75">
      <c r="B804" s="207"/>
    </row>
    <row r="805" ht="12.75">
      <c r="B805" s="207"/>
    </row>
    <row r="806" ht="12.75">
      <c r="B806" s="207"/>
    </row>
    <row r="807" ht="12.75">
      <c r="B807" s="207"/>
    </row>
    <row r="808" ht="12.75">
      <c r="B808" s="207"/>
    </row>
    <row r="809" ht="12.75">
      <c r="B809" s="207"/>
    </row>
    <row r="810" ht="12.75">
      <c r="B810" s="207"/>
    </row>
    <row r="811" ht="12.75">
      <c r="B811" s="207"/>
    </row>
    <row r="812" ht="12.75">
      <c r="B812" s="207"/>
    </row>
    <row r="813" ht="12.75">
      <c r="B813" s="207"/>
    </row>
    <row r="814" ht="12.75">
      <c r="B814" s="207"/>
    </row>
    <row r="815" ht="12.75">
      <c r="B815" s="207"/>
    </row>
    <row r="816" ht="12.75">
      <c r="B816" s="207"/>
    </row>
    <row r="817" ht="12.75">
      <c r="B817" s="207"/>
    </row>
    <row r="818" ht="12.75">
      <c r="B818" s="207"/>
    </row>
    <row r="819" ht="12.75">
      <c r="B819" s="207"/>
    </row>
    <row r="820" ht="12.75">
      <c r="B820" s="207"/>
    </row>
    <row r="821" ht="12.75">
      <c r="B821" s="207"/>
    </row>
    <row r="822" ht="12.75">
      <c r="B822" s="207"/>
    </row>
    <row r="823" ht="12.75">
      <c r="B823" s="207"/>
    </row>
    <row r="824" ht="12.75">
      <c r="B824" s="207"/>
    </row>
    <row r="825" ht="12.75">
      <c r="B825" s="207"/>
    </row>
    <row r="826" ht="12.75">
      <c r="B826" s="207"/>
    </row>
    <row r="827" ht="12.75">
      <c r="B827" s="207"/>
    </row>
    <row r="828" ht="12.75">
      <c r="B828" s="207"/>
    </row>
    <row r="829" ht="12.75">
      <c r="B829" s="207"/>
    </row>
    <row r="830" ht="12.75">
      <c r="B830" s="207"/>
    </row>
    <row r="831" ht="12.75">
      <c r="B831" s="207"/>
    </row>
    <row r="832" ht="12.75">
      <c r="B832" s="207"/>
    </row>
    <row r="833" ht="12.75">
      <c r="B833" s="207"/>
    </row>
    <row r="834" ht="12.75">
      <c r="B834" s="207"/>
    </row>
    <row r="835" ht="12.75">
      <c r="B835" s="207"/>
    </row>
    <row r="836" ht="12.75">
      <c r="B836" s="207"/>
    </row>
    <row r="837" ht="12.75">
      <c r="B837" s="207"/>
    </row>
    <row r="838" ht="12.75">
      <c r="B838" s="207"/>
    </row>
    <row r="839" ht="12.75">
      <c r="B839" s="207"/>
    </row>
    <row r="840" ht="12.75">
      <c r="B840" s="207"/>
    </row>
    <row r="841" ht="12.75">
      <c r="B841" s="207"/>
    </row>
    <row r="842" ht="12.75">
      <c r="B842" s="207"/>
    </row>
    <row r="843" ht="12.75">
      <c r="B843" s="207"/>
    </row>
    <row r="844" ht="12.75">
      <c r="B844" s="207"/>
    </row>
    <row r="845" ht="12.75">
      <c r="B845" s="207"/>
    </row>
    <row r="846" ht="12.75">
      <c r="B846" s="207"/>
    </row>
    <row r="847" ht="12.75">
      <c r="B847" s="207"/>
    </row>
    <row r="848" ht="12.75">
      <c r="B848" s="207"/>
    </row>
    <row r="849" ht="12.75">
      <c r="B849" s="207"/>
    </row>
    <row r="850" ht="12.75">
      <c r="B850" s="207"/>
    </row>
    <row r="851" ht="12.75">
      <c r="B851" s="207"/>
    </row>
    <row r="852" ht="12.75">
      <c r="B852" s="207"/>
    </row>
    <row r="853" ht="12.75">
      <c r="B853" s="207"/>
    </row>
    <row r="854" ht="12.75">
      <c r="B854" s="207"/>
    </row>
    <row r="855" ht="12.75">
      <c r="B855" s="207"/>
    </row>
    <row r="856" ht="12.75">
      <c r="B856" s="207"/>
    </row>
    <row r="857" ht="12.75">
      <c r="B857" s="207"/>
    </row>
    <row r="858" ht="12.75">
      <c r="B858" s="207"/>
    </row>
    <row r="859" ht="12.75">
      <c r="B859" s="207"/>
    </row>
    <row r="860" ht="12.75">
      <c r="B860" s="207"/>
    </row>
    <row r="861" ht="12.75">
      <c r="B861" s="207"/>
    </row>
    <row r="862" ht="12.75">
      <c r="B862" s="207"/>
    </row>
    <row r="863" ht="12.75">
      <c r="B863" s="207"/>
    </row>
    <row r="864" ht="12.75">
      <c r="B864" s="207"/>
    </row>
    <row r="865" ht="12.75">
      <c r="B865" s="207"/>
    </row>
    <row r="866" ht="12.75">
      <c r="B866" s="207"/>
    </row>
    <row r="867" ht="12.75">
      <c r="B867" s="207"/>
    </row>
    <row r="868" ht="12.75">
      <c r="B868" s="207"/>
    </row>
    <row r="869" ht="12.75">
      <c r="B869" s="207"/>
    </row>
    <row r="870" ht="12.75">
      <c r="B870" s="207"/>
    </row>
    <row r="871" ht="12.75">
      <c r="B871" s="207"/>
    </row>
    <row r="872" ht="12.75">
      <c r="B872" s="207"/>
    </row>
    <row r="873" ht="12.75">
      <c r="B873" s="207"/>
    </row>
    <row r="874" ht="12.75">
      <c r="B874" s="207"/>
    </row>
    <row r="875" ht="12.75">
      <c r="B875" s="207"/>
    </row>
    <row r="876" ht="12.75">
      <c r="B876" s="207"/>
    </row>
    <row r="877" ht="12.75">
      <c r="B877" s="207"/>
    </row>
    <row r="878" ht="12.75">
      <c r="B878" s="207"/>
    </row>
    <row r="879" ht="12.75">
      <c r="B879" s="207"/>
    </row>
    <row r="880" ht="12.75">
      <c r="B880" s="207"/>
    </row>
    <row r="881" ht="12.75">
      <c r="B881" s="207"/>
    </row>
    <row r="882" ht="12.75">
      <c r="B882" s="207"/>
    </row>
    <row r="883" ht="12.75">
      <c r="B883" s="207"/>
    </row>
    <row r="884" ht="12.75">
      <c r="B884" s="207"/>
    </row>
    <row r="885" ht="12.75">
      <c r="B885" s="207"/>
    </row>
    <row r="886" ht="12.75">
      <c r="B886" s="207"/>
    </row>
    <row r="887" ht="12.75">
      <c r="B887" s="207"/>
    </row>
    <row r="888" ht="12.75">
      <c r="B888" s="207"/>
    </row>
    <row r="889" ht="12.75">
      <c r="B889" s="207"/>
    </row>
    <row r="890" ht="12.75">
      <c r="B890" s="207"/>
    </row>
    <row r="891" ht="12.75">
      <c r="B891" s="207"/>
    </row>
    <row r="892" ht="12.75">
      <c r="B892" s="207"/>
    </row>
    <row r="893" ht="12.75">
      <c r="B893" s="207"/>
    </row>
    <row r="894" ht="12.75">
      <c r="B894" s="207"/>
    </row>
    <row r="895" ht="12.75">
      <c r="B895" s="207"/>
    </row>
    <row r="896" ht="12.75">
      <c r="B896" s="207"/>
    </row>
    <row r="897" ht="12.75">
      <c r="B897" s="207"/>
    </row>
    <row r="898" ht="12.75">
      <c r="B898" s="207"/>
    </row>
    <row r="899" ht="12.75">
      <c r="B899" s="207"/>
    </row>
    <row r="900" ht="12.75">
      <c r="B900" s="207"/>
    </row>
    <row r="901" ht="12.75">
      <c r="B901" s="207"/>
    </row>
    <row r="902" ht="12.75">
      <c r="B902" s="207"/>
    </row>
    <row r="903" ht="12.75">
      <c r="B903" s="207"/>
    </row>
    <row r="904" ht="12.75">
      <c r="B904" s="207"/>
    </row>
    <row r="905" ht="12.75">
      <c r="B905" s="207"/>
    </row>
    <row r="906" ht="12.75">
      <c r="B906" s="207"/>
    </row>
    <row r="907" ht="12.75">
      <c r="B907" s="207"/>
    </row>
    <row r="908" ht="12.75">
      <c r="B908" s="207"/>
    </row>
    <row r="909" ht="12.75">
      <c r="B909" s="207"/>
    </row>
    <row r="910" ht="12.75">
      <c r="B910" s="207"/>
    </row>
    <row r="911" ht="12.75">
      <c r="B911" s="207"/>
    </row>
    <row r="912" ht="12.75">
      <c r="B912" s="207"/>
    </row>
    <row r="913" ht="12.75">
      <c r="B913" s="207"/>
    </row>
    <row r="914" ht="12.75">
      <c r="B914" s="207"/>
    </row>
    <row r="915" ht="12.75">
      <c r="B915" s="207"/>
    </row>
    <row r="916" ht="12.75">
      <c r="B916" s="207"/>
    </row>
    <row r="917" ht="12.75">
      <c r="B917" s="207"/>
    </row>
    <row r="918" ht="12.75">
      <c r="B918" s="207"/>
    </row>
    <row r="919" ht="12.75">
      <c r="B919" s="207"/>
    </row>
    <row r="920" ht="12.75">
      <c r="B920" s="207"/>
    </row>
    <row r="921" ht="12.75">
      <c r="B921" s="207"/>
    </row>
    <row r="922" ht="12.75">
      <c r="B922" s="207"/>
    </row>
    <row r="923" ht="12.75">
      <c r="B923" s="207"/>
    </row>
    <row r="924" ht="12.75">
      <c r="B924" s="207"/>
    </row>
    <row r="925" ht="12.75">
      <c r="B925" s="207"/>
    </row>
    <row r="926" ht="12.75">
      <c r="B926" s="207"/>
    </row>
    <row r="927" ht="12.75">
      <c r="B927" s="207"/>
    </row>
    <row r="928" ht="12.75">
      <c r="B928" s="207"/>
    </row>
    <row r="929" ht="12.75">
      <c r="B929" s="207"/>
    </row>
    <row r="930" ht="12.75">
      <c r="B930" s="207"/>
    </row>
    <row r="931" ht="12.75">
      <c r="B931" s="207"/>
    </row>
    <row r="932" ht="12.75">
      <c r="B932" s="207"/>
    </row>
    <row r="933" ht="12.75">
      <c r="B933" s="207"/>
    </row>
    <row r="934" ht="12.75">
      <c r="B934" s="207"/>
    </row>
    <row r="935" ht="12.75">
      <c r="B935" s="207"/>
    </row>
    <row r="936" ht="12.75">
      <c r="B936" s="207"/>
    </row>
    <row r="937" ht="12.75">
      <c r="B937" s="207"/>
    </row>
    <row r="938" ht="12.75">
      <c r="B938" s="207"/>
    </row>
    <row r="939" ht="12.75">
      <c r="B939" s="207"/>
    </row>
    <row r="940" ht="12.75">
      <c r="B940" s="207"/>
    </row>
    <row r="941" ht="12.75">
      <c r="B941" s="207"/>
    </row>
    <row r="942" ht="12.75">
      <c r="B942" s="207"/>
    </row>
    <row r="943" ht="12.75">
      <c r="B943" s="207"/>
    </row>
    <row r="944" ht="12.75">
      <c r="B944" s="207"/>
    </row>
    <row r="945" ht="12.75">
      <c r="B945" s="207"/>
    </row>
    <row r="946" ht="12.75">
      <c r="B946" s="207"/>
    </row>
    <row r="947" ht="12.75">
      <c r="B947" s="207"/>
    </row>
    <row r="948" ht="12.75">
      <c r="B948" s="207"/>
    </row>
    <row r="949" ht="12.75">
      <c r="B949" s="207"/>
    </row>
    <row r="950" ht="12.75">
      <c r="B950" s="207"/>
    </row>
    <row r="951" ht="12.75">
      <c r="B951" s="207"/>
    </row>
    <row r="952" ht="12.75">
      <c r="B952" s="207"/>
    </row>
    <row r="953" ht="12.75">
      <c r="B953" s="207"/>
    </row>
    <row r="954" ht="12.75">
      <c r="B954" s="207"/>
    </row>
    <row r="955" ht="12.75">
      <c r="B955" s="207"/>
    </row>
    <row r="956" ht="12.75">
      <c r="B956" s="207"/>
    </row>
    <row r="957" ht="12.75">
      <c r="B957" s="207"/>
    </row>
    <row r="958" ht="12.75">
      <c r="B958" s="207"/>
    </row>
    <row r="959" ht="12.75">
      <c r="B959" s="207"/>
    </row>
    <row r="960" ht="12.75">
      <c r="B960" s="207"/>
    </row>
    <row r="961" ht="12.75">
      <c r="B961" s="207"/>
    </row>
    <row r="962" ht="12.75">
      <c r="B962" s="207"/>
    </row>
    <row r="963" ht="12.75">
      <c r="B963" s="207"/>
    </row>
    <row r="964" ht="12.75">
      <c r="B964" s="207"/>
    </row>
    <row r="965" ht="12.75">
      <c r="B965" s="207"/>
    </row>
    <row r="966" ht="12.75">
      <c r="B966" s="207"/>
    </row>
    <row r="967" ht="12.75">
      <c r="B967" s="207"/>
    </row>
    <row r="968" ht="12.75">
      <c r="B968" s="207"/>
    </row>
    <row r="969" ht="12.75">
      <c r="B969" s="207"/>
    </row>
    <row r="970" ht="12.75">
      <c r="B970" s="207"/>
    </row>
    <row r="971" ht="12.75">
      <c r="B971" s="207"/>
    </row>
    <row r="972" ht="12.75">
      <c r="B972" s="207"/>
    </row>
    <row r="973" ht="12.75">
      <c r="B973" s="207"/>
    </row>
    <row r="974" ht="12.75">
      <c r="B974" s="207"/>
    </row>
    <row r="975" ht="12.75">
      <c r="B975" s="207"/>
    </row>
    <row r="976" ht="12.75">
      <c r="B976" s="207"/>
    </row>
    <row r="977" ht="12.75">
      <c r="B977" s="207"/>
    </row>
    <row r="978" ht="12.75">
      <c r="B978" s="207"/>
    </row>
    <row r="979" ht="12.75">
      <c r="B979" s="207"/>
    </row>
    <row r="980" ht="12.75">
      <c r="B980" s="207"/>
    </row>
    <row r="981" ht="12.75">
      <c r="B981" s="207"/>
    </row>
    <row r="982" ht="12.75">
      <c r="B982" s="207"/>
    </row>
    <row r="983" ht="12.75">
      <c r="B983" s="207"/>
    </row>
    <row r="984" ht="12.75">
      <c r="B984" s="207"/>
    </row>
    <row r="985" ht="12.75">
      <c r="B985" s="207"/>
    </row>
    <row r="986" ht="12.75">
      <c r="B986" s="207"/>
    </row>
    <row r="987" ht="12.75">
      <c r="B987" s="207"/>
    </row>
    <row r="988" ht="12.75">
      <c r="B988" s="207"/>
    </row>
    <row r="989" ht="12.75">
      <c r="B989" s="207"/>
    </row>
    <row r="990" ht="12.75">
      <c r="B990" s="207"/>
    </row>
    <row r="991" ht="12.75">
      <c r="B991" s="207"/>
    </row>
    <row r="992" ht="12.75">
      <c r="B992" s="207"/>
    </row>
    <row r="993" ht="12.75">
      <c r="B993" s="207"/>
    </row>
    <row r="994" ht="12.75">
      <c r="B994" s="207"/>
    </row>
    <row r="995" ht="12.75">
      <c r="B995" s="207"/>
    </row>
    <row r="996" ht="12.75">
      <c r="B996" s="207"/>
    </row>
    <row r="997" ht="12.75">
      <c r="B997" s="207"/>
    </row>
    <row r="998" ht="12.75">
      <c r="B998" s="207"/>
    </row>
    <row r="999" ht="12.75">
      <c r="B999" s="207"/>
    </row>
    <row r="1000" ht="12.75">
      <c r="B1000" s="207"/>
    </row>
    <row r="1001" ht="12.75">
      <c r="B1001" s="207"/>
    </row>
    <row r="1002" ht="12.75">
      <c r="B1002" s="207"/>
    </row>
    <row r="1003" ht="12.75">
      <c r="B1003" s="207"/>
    </row>
    <row r="1004" ht="12.75">
      <c r="B1004" s="207"/>
    </row>
    <row r="1005" ht="12.75">
      <c r="B1005" s="207"/>
    </row>
    <row r="1006" ht="12.75">
      <c r="B1006" s="207"/>
    </row>
    <row r="1007" ht="12.75">
      <c r="B1007" s="207"/>
    </row>
    <row r="1008" ht="12.75">
      <c r="B1008" s="207"/>
    </row>
    <row r="1009" ht="12.75">
      <c r="B1009" s="207"/>
    </row>
    <row r="1010" ht="12.75">
      <c r="B1010" s="207"/>
    </row>
    <row r="1011" ht="12.75">
      <c r="B1011" s="207"/>
    </row>
    <row r="1012" ht="12.75">
      <c r="B1012" s="207"/>
    </row>
    <row r="1013" ht="12.75">
      <c r="B1013" s="207"/>
    </row>
    <row r="1014" ht="12.75">
      <c r="B1014" s="207"/>
    </row>
    <row r="1015" ht="12.75">
      <c r="B1015" s="207"/>
    </row>
    <row r="1016" ht="12.75">
      <c r="B1016" s="207"/>
    </row>
    <row r="1017" ht="12.75">
      <c r="B1017" s="207"/>
    </row>
    <row r="1018" ht="12.75">
      <c r="B1018" s="207"/>
    </row>
    <row r="1019" ht="12.75">
      <c r="B1019" s="207"/>
    </row>
    <row r="1020" ht="12.75">
      <c r="B1020" s="207"/>
    </row>
    <row r="1021" ht="12.75">
      <c r="B1021" s="207"/>
    </row>
    <row r="1022" ht="12.75">
      <c r="B1022" s="207"/>
    </row>
    <row r="1023" ht="12.75">
      <c r="B1023" s="207"/>
    </row>
    <row r="1024" ht="12.75">
      <c r="B1024" s="207"/>
    </row>
    <row r="1025" ht="12.75">
      <c r="B1025" s="207"/>
    </row>
    <row r="1026" ht="12.75">
      <c r="B1026" s="207"/>
    </row>
    <row r="1027" ht="12.75">
      <c r="B1027" s="207"/>
    </row>
    <row r="1028" ht="12.75">
      <c r="B1028" s="207"/>
    </row>
    <row r="1029" ht="12.75">
      <c r="B1029" s="207"/>
    </row>
    <row r="1030" ht="12.75">
      <c r="B1030" s="207"/>
    </row>
    <row r="1031" ht="12.75">
      <c r="B1031" s="207"/>
    </row>
    <row r="1032" ht="12.75">
      <c r="B1032" s="207"/>
    </row>
    <row r="1033" ht="12.75">
      <c r="B1033" s="207"/>
    </row>
    <row r="1034" ht="12.75">
      <c r="B1034" s="207"/>
    </row>
    <row r="1035" ht="12.75">
      <c r="B1035" s="207"/>
    </row>
    <row r="1036" ht="12.75">
      <c r="B1036" s="207"/>
    </row>
    <row r="1037" ht="12.75">
      <c r="B1037" s="207"/>
    </row>
    <row r="1038" ht="12.75">
      <c r="B1038" s="207"/>
    </row>
    <row r="1039" ht="12.75">
      <c r="B1039" s="207"/>
    </row>
    <row r="1040" ht="12.75">
      <c r="B1040" s="207"/>
    </row>
    <row r="1041" ht="12.75">
      <c r="B1041" s="207"/>
    </row>
    <row r="1042" ht="12.75">
      <c r="B1042" s="207"/>
    </row>
    <row r="1043" ht="12.75">
      <c r="B1043" s="207"/>
    </row>
    <row r="1044" ht="12.75">
      <c r="B1044" s="207"/>
    </row>
    <row r="1045" ht="12.75">
      <c r="B1045" s="207"/>
    </row>
    <row r="1046" ht="12.75">
      <c r="B1046" s="207"/>
    </row>
    <row r="1047" ht="12.75">
      <c r="B1047" s="207"/>
    </row>
    <row r="1048" ht="12.75">
      <c r="B1048" s="207"/>
    </row>
    <row r="1049" ht="12.75">
      <c r="B1049" s="207"/>
    </row>
    <row r="1050" ht="12.75">
      <c r="B1050" s="207"/>
    </row>
    <row r="1051" ht="12.75">
      <c r="B1051" s="207"/>
    </row>
    <row r="1052" ht="12.75">
      <c r="B1052" s="207"/>
    </row>
    <row r="1053" ht="12.75">
      <c r="B1053" s="207"/>
    </row>
    <row r="1054" ht="12.75">
      <c r="B1054" s="207"/>
    </row>
    <row r="1055" ht="12.75">
      <c r="B1055" s="207"/>
    </row>
    <row r="1056" ht="12.75">
      <c r="B1056" s="207"/>
    </row>
    <row r="1057" ht="12.75">
      <c r="B1057" s="207"/>
    </row>
    <row r="1058" ht="12.75">
      <c r="B1058" s="207"/>
    </row>
    <row r="1059" ht="12.75">
      <c r="B1059" s="207"/>
    </row>
    <row r="1060" ht="12.75">
      <c r="B1060" s="207"/>
    </row>
    <row r="1061" ht="12.75">
      <c r="B1061" s="207"/>
    </row>
    <row r="1062" ht="12.75">
      <c r="B1062" s="207"/>
    </row>
    <row r="1063" ht="12.75">
      <c r="B1063" s="207"/>
    </row>
    <row r="1064" ht="12.75">
      <c r="B1064" s="207"/>
    </row>
    <row r="1065" ht="12.75">
      <c r="B1065" s="207"/>
    </row>
    <row r="1066" ht="12.75">
      <c r="B1066" s="207"/>
    </row>
    <row r="1067" ht="12.75">
      <c r="B1067" s="207"/>
    </row>
    <row r="1068" ht="12.75">
      <c r="B1068" s="207"/>
    </row>
    <row r="1069" ht="12.75">
      <c r="B1069" s="207"/>
    </row>
    <row r="1070" ht="12.75">
      <c r="B1070" s="207"/>
    </row>
    <row r="1071" ht="12.75">
      <c r="B1071" s="207"/>
    </row>
    <row r="1072" ht="12.75">
      <c r="B1072" s="207"/>
    </row>
    <row r="1073" ht="12.75">
      <c r="B1073" s="207"/>
    </row>
    <row r="1074" ht="12.75">
      <c r="B1074" s="207"/>
    </row>
    <row r="1075" ht="12.75">
      <c r="B1075" s="207"/>
    </row>
    <row r="1076" ht="12.75">
      <c r="B1076" s="207"/>
    </row>
    <row r="1077" ht="12.75">
      <c r="B1077" s="207"/>
    </row>
    <row r="1078" ht="12.75">
      <c r="B1078" s="207"/>
    </row>
    <row r="1079" ht="12.75">
      <c r="B1079" s="207"/>
    </row>
    <row r="1080" ht="12.75">
      <c r="B1080" s="207"/>
    </row>
    <row r="1081" ht="12.75">
      <c r="B1081" s="207"/>
    </row>
    <row r="1082" ht="12.75">
      <c r="B1082" s="207"/>
    </row>
    <row r="1083" ht="12.75">
      <c r="B1083" s="207"/>
    </row>
    <row r="1084" ht="12.75">
      <c r="B1084" s="207"/>
    </row>
    <row r="1085" ht="12.75">
      <c r="B1085" s="207"/>
    </row>
    <row r="1086" ht="12.75">
      <c r="B1086" s="207"/>
    </row>
    <row r="1087" ht="12.75">
      <c r="B1087" s="207"/>
    </row>
    <row r="1088" ht="12.75">
      <c r="B1088" s="207"/>
    </row>
    <row r="1089" ht="12.75">
      <c r="B1089" s="207"/>
    </row>
    <row r="1090" ht="12.75">
      <c r="B1090" s="207"/>
    </row>
    <row r="1091" ht="12.75">
      <c r="B1091" s="207"/>
    </row>
    <row r="1092" ht="12.75">
      <c r="B1092" s="207"/>
    </row>
    <row r="1093" ht="12.75">
      <c r="B1093" s="207"/>
    </row>
    <row r="1094" ht="12.75">
      <c r="B1094" s="207"/>
    </row>
    <row r="1095" ht="12.75">
      <c r="B1095" s="207"/>
    </row>
    <row r="1096" ht="12.75">
      <c r="B1096" s="207"/>
    </row>
    <row r="1097" ht="12.75">
      <c r="B1097" s="207"/>
    </row>
    <row r="1098" ht="12.75">
      <c r="B1098" s="207"/>
    </row>
    <row r="1099" ht="12.75">
      <c r="B1099" s="207"/>
    </row>
    <row r="1100" ht="12.75">
      <c r="B1100" s="207"/>
    </row>
    <row r="1101" ht="12.75">
      <c r="B1101" s="207"/>
    </row>
    <row r="1102" ht="12.75">
      <c r="B1102" s="207"/>
    </row>
    <row r="1103" ht="12.75">
      <c r="B1103" s="207"/>
    </row>
    <row r="1104" ht="12.75">
      <c r="B1104" s="207"/>
    </row>
    <row r="1105" ht="12.75">
      <c r="B1105" s="207"/>
    </row>
    <row r="1106" ht="12.75">
      <c r="B1106" s="207"/>
    </row>
    <row r="1107" ht="12.75">
      <c r="B1107" s="207"/>
    </row>
    <row r="1108" ht="12.75">
      <c r="B1108" s="207"/>
    </row>
    <row r="1109" ht="12.75">
      <c r="B1109" s="207"/>
    </row>
    <row r="1110" ht="12.75">
      <c r="B1110" s="207"/>
    </row>
    <row r="1111" ht="12.75">
      <c r="B1111" s="207"/>
    </row>
    <row r="1112" ht="12.75">
      <c r="B1112" s="207"/>
    </row>
    <row r="1113" ht="12.75">
      <c r="B1113" s="207"/>
    </row>
    <row r="1114" ht="12.75">
      <c r="B1114" s="207"/>
    </row>
    <row r="1115" ht="12.75">
      <c r="B1115" s="207"/>
    </row>
    <row r="1116" ht="12.75">
      <c r="B1116" s="207"/>
    </row>
    <row r="1117" ht="12.75">
      <c r="B1117" s="207"/>
    </row>
    <row r="1118" ht="12.75">
      <c r="B1118" s="207"/>
    </row>
    <row r="1119" ht="12.75">
      <c r="B1119" s="207"/>
    </row>
    <row r="1120" ht="12.75">
      <c r="B1120" s="207"/>
    </row>
    <row r="1121" ht="12.75">
      <c r="B1121" s="207"/>
    </row>
    <row r="1122" ht="12.75">
      <c r="B1122" s="207"/>
    </row>
    <row r="1123" ht="12.75">
      <c r="B1123" s="207"/>
    </row>
    <row r="1124" ht="12.75">
      <c r="B1124" s="207"/>
    </row>
    <row r="1125" ht="12.75">
      <c r="B1125" s="207"/>
    </row>
    <row r="1126" ht="12.75">
      <c r="B1126" s="207"/>
    </row>
    <row r="1127" ht="12.75">
      <c r="B1127" s="207"/>
    </row>
    <row r="1128" ht="12.75">
      <c r="B1128" s="207"/>
    </row>
    <row r="1129" ht="12.75">
      <c r="B1129" s="207"/>
    </row>
    <row r="1130" ht="12.75">
      <c r="B1130" s="207"/>
    </row>
    <row r="1131" ht="12.75">
      <c r="B1131" s="207"/>
    </row>
    <row r="1132" ht="12.75">
      <c r="B1132" s="207"/>
    </row>
    <row r="1133" ht="12.75">
      <c r="B1133" s="207"/>
    </row>
    <row r="1134" ht="12.75">
      <c r="B1134" s="207"/>
    </row>
    <row r="1135" ht="12.75">
      <c r="B1135" s="207"/>
    </row>
    <row r="1136" ht="12.75">
      <c r="B1136" s="207"/>
    </row>
    <row r="1137" ht="12.75">
      <c r="B1137" s="207"/>
    </row>
    <row r="1138" ht="12.75">
      <c r="B1138" s="207"/>
    </row>
    <row r="1139" ht="12.75">
      <c r="B1139" s="207"/>
    </row>
    <row r="1140" ht="12.75">
      <c r="B1140" s="207"/>
    </row>
    <row r="1141" ht="12.75">
      <c r="B1141" s="207"/>
    </row>
    <row r="1142" ht="12.75">
      <c r="B1142" s="207"/>
    </row>
    <row r="1143" ht="12.75">
      <c r="B1143" s="207"/>
    </row>
    <row r="1144" ht="12.75">
      <c r="B1144" s="207"/>
    </row>
    <row r="1145" ht="12.75">
      <c r="B1145" s="207"/>
    </row>
    <row r="1146" ht="12.75">
      <c r="B1146" s="207"/>
    </row>
    <row r="1147" ht="12.75">
      <c r="B1147" s="207"/>
    </row>
    <row r="1148" ht="12.75">
      <c r="B1148" s="207"/>
    </row>
    <row r="1149" ht="12.75">
      <c r="B1149" s="207"/>
    </row>
    <row r="1150" ht="12.75">
      <c r="B1150" s="207"/>
    </row>
    <row r="1151" ht="12.75">
      <c r="B1151" s="207"/>
    </row>
    <row r="1152" ht="12.75">
      <c r="B1152" s="207"/>
    </row>
    <row r="1153" ht="12.75">
      <c r="B1153" s="207"/>
    </row>
    <row r="1154" ht="12.75">
      <c r="B1154" s="207"/>
    </row>
    <row r="1155" ht="12.75">
      <c r="B1155" s="207"/>
    </row>
    <row r="1156" ht="12.75">
      <c r="B1156" s="207"/>
    </row>
    <row r="1157" ht="12.75">
      <c r="B1157" s="207"/>
    </row>
    <row r="1158" ht="12.75">
      <c r="B1158" s="207"/>
    </row>
    <row r="1159" ht="12.75">
      <c r="B1159" s="207"/>
    </row>
    <row r="1160" ht="12.75">
      <c r="B1160" s="207"/>
    </row>
    <row r="1161" ht="12.75">
      <c r="B1161" s="207"/>
    </row>
    <row r="1162" ht="12.75">
      <c r="B1162" s="207"/>
    </row>
    <row r="1163" ht="12.75">
      <c r="B1163" s="207"/>
    </row>
    <row r="1164" ht="12.75">
      <c r="B1164" s="207"/>
    </row>
    <row r="1165" ht="12.75">
      <c r="B1165" s="207"/>
    </row>
    <row r="1166" ht="12.75">
      <c r="B1166" s="207"/>
    </row>
    <row r="1167" ht="12.75">
      <c r="B1167" s="207"/>
    </row>
    <row r="1168" ht="12.75">
      <c r="B1168" s="207"/>
    </row>
    <row r="1169" ht="12.75">
      <c r="B1169" s="207"/>
    </row>
    <row r="1170" ht="12.75">
      <c r="B1170" s="207"/>
    </row>
    <row r="1171" ht="12.75">
      <c r="B1171" s="207"/>
    </row>
    <row r="1172" ht="12.75">
      <c r="B1172" s="207"/>
    </row>
    <row r="1173" ht="12.75">
      <c r="B1173" s="207"/>
    </row>
    <row r="1174" ht="12.75">
      <c r="B1174" s="207"/>
    </row>
    <row r="1175" ht="12.75">
      <c r="B1175" s="207"/>
    </row>
    <row r="1176" ht="12.75">
      <c r="B1176" s="207"/>
    </row>
    <row r="1177" ht="12.75">
      <c r="B1177" s="207"/>
    </row>
    <row r="1178" ht="12.75">
      <c r="B1178" s="207"/>
    </row>
    <row r="1179" ht="12.75">
      <c r="B1179" s="207"/>
    </row>
    <row r="1180" ht="12.75">
      <c r="B1180" s="207"/>
    </row>
    <row r="1181" ht="12.75">
      <c r="B1181" s="207"/>
    </row>
    <row r="1182" ht="12.75">
      <c r="B1182" s="207"/>
    </row>
    <row r="1183" ht="12.75">
      <c r="B1183" s="207"/>
    </row>
    <row r="1184" ht="12.75">
      <c r="B1184" s="207"/>
    </row>
    <row r="1185" ht="12.75">
      <c r="B1185" s="207"/>
    </row>
    <row r="1186" ht="12.75">
      <c r="B1186" s="207"/>
    </row>
    <row r="1187" ht="12.75">
      <c r="B1187" s="207"/>
    </row>
    <row r="1188" ht="12.75">
      <c r="B1188" s="207"/>
    </row>
    <row r="1189" ht="12.75">
      <c r="B1189" s="207"/>
    </row>
    <row r="1190" ht="12.75">
      <c r="B1190" s="207"/>
    </row>
    <row r="1191" ht="12.75">
      <c r="B1191" s="207"/>
    </row>
    <row r="1192" ht="12.75">
      <c r="B1192" s="207"/>
    </row>
    <row r="1193" ht="12.75">
      <c r="B1193" s="207"/>
    </row>
    <row r="1194" ht="12.75">
      <c r="B1194" s="207"/>
    </row>
    <row r="1195" ht="12.75">
      <c r="B1195" s="207"/>
    </row>
    <row r="1196" ht="12.75">
      <c r="B1196" s="207"/>
    </row>
    <row r="1197" ht="12.75">
      <c r="B1197" s="207"/>
    </row>
    <row r="1198" ht="12.75">
      <c r="B1198" s="207"/>
    </row>
    <row r="1199" ht="12.75">
      <c r="B1199" s="207"/>
    </row>
    <row r="1200" ht="12.75">
      <c r="B1200" s="207"/>
    </row>
    <row r="1201" ht="12.75">
      <c r="B1201" s="207"/>
    </row>
    <row r="1202" ht="12.75">
      <c r="B1202" s="207"/>
    </row>
    <row r="1203" ht="12.75">
      <c r="B1203" s="207"/>
    </row>
    <row r="1204" ht="12.75">
      <c r="B1204" s="207"/>
    </row>
    <row r="1205" ht="12.75">
      <c r="B1205" s="207"/>
    </row>
    <row r="1206" ht="12.75">
      <c r="B1206" s="207"/>
    </row>
    <row r="1207" ht="12.75">
      <c r="B1207" s="207"/>
    </row>
    <row r="1208" ht="12.75">
      <c r="B1208" s="207"/>
    </row>
    <row r="1209" ht="12.75">
      <c r="B1209" s="207"/>
    </row>
    <row r="1210" ht="12.75">
      <c r="B1210" s="207"/>
    </row>
    <row r="1211" ht="12.75">
      <c r="B1211" s="207"/>
    </row>
    <row r="1212" ht="12.75">
      <c r="B1212" s="207"/>
    </row>
    <row r="1213" ht="12.75">
      <c r="B1213" s="207"/>
    </row>
    <row r="1214" ht="12.75">
      <c r="B1214" s="207"/>
    </row>
    <row r="1215" ht="12.75">
      <c r="B1215" s="207"/>
    </row>
    <row r="1216" ht="12.75">
      <c r="B1216" s="207"/>
    </row>
    <row r="1217" ht="12.75">
      <c r="B1217" s="207"/>
    </row>
    <row r="1218" ht="12.75">
      <c r="B1218" s="207"/>
    </row>
    <row r="1219" ht="12.75">
      <c r="B1219" s="207"/>
    </row>
    <row r="1220" ht="12.75">
      <c r="B1220" s="207"/>
    </row>
    <row r="1221" ht="12.75">
      <c r="B1221" s="207"/>
    </row>
    <row r="1222" ht="12.75">
      <c r="B1222" s="207"/>
    </row>
    <row r="1223" ht="12.75">
      <c r="B1223" s="207"/>
    </row>
    <row r="1224" ht="12.75">
      <c r="B1224" s="207"/>
    </row>
    <row r="1225" ht="12.75">
      <c r="B1225" s="207"/>
    </row>
    <row r="1226" ht="12.75">
      <c r="B1226" s="207"/>
    </row>
    <row r="1227" ht="12.75">
      <c r="B1227" s="207"/>
    </row>
    <row r="1228" ht="12.75">
      <c r="B1228" s="207"/>
    </row>
    <row r="1229" ht="12.75">
      <c r="B1229" s="207"/>
    </row>
    <row r="1230" ht="12.75">
      <c r="B1230" s="207"/>
    </row>
    <row r="1231" ht="12.75">
      <c r="B1231" s="207"/>
    </row>
    <row r="1232" ht="12.75">
      <c r="B1232" s="207"/>
    </row>
    <row r="1233" ht="12.75">
      <c r="B1233" s="207"/>
    </row>
    <row r="1234" ht="12.75">
      <c r="B1234" s="207"/>
    </row>
    <row r="1235" ht="12.75">
      <c r="B1235" s="207"/>
    </row>
    <row r="1236" ht="12.75">
      <c r="B1236" s="207"/>
    </row>
    <row r="1237" ht="12.75">
      <c r="B1237" s="207"/>
    </row>
    <row r="1238" ht="12.75">
      <c r="B1238" s="207"/>
    </row>
    <row r="1239" ht="12.75">
      <c r="B1239" s="207"/>
    </row>
    <row r="1240" ht="12.75">
      <c r="B1240" s="207"/>
    </row>
    <row r="1241" ht="12.75">
      <c r="B1241" s="207"/>
    </row>
    <row r="1242" ht="12.75">
      <c r="B1242" s="207"/>
    </row>
    <row r="1243" ht="12.75">
      <c r="B1243" s="207"/>
    </row>
    <row r="1244" ht="12.75">
      <c r="B1244" s="207"/>
    </row>
    <row r="1245" ht="12.75">
      <c r="B1245" s="207"/>
    </row>
    <row r="1246" ht="12.75">
      <c r="B1246" s="207"/>
    </row>
    <row r="1247" ht="12.75">
      <c r="B1247" s="207"/>
    </row>
    <row r="1248" ht="12.75">
      <c r="B1248" s="207"/>
    </row>
    <row r="1249" ht="12.75">
      <c r="B1249" s="207"/>
    </row>
    <row r="1250" ht="12.75">
      <c r="B1250" s="207"/>
    </row>
    <row r="1251" ht="12.75">
      <c r="B1251" s="207"/>
    </row>
    <row r="1252" ht="12.75">
      <c r="B1252" s="207"/>
    </row>
    <row r="1253" ht="12.75">
      <c r="B1253" s="207"/>
    </row>
    <row r="1254" ht="12.75">
      <c r="B1254" s="207"/>
    </row>
    <row r="1255" ht="12.75">
      <c r="B1255" s="207"/>
    </row>
    <row r="1256" ht="12.75">
      <c r="B1256" s="207"/>
    </row>
    <row r="1257" ht="12.75">
      <c r="B1257" s="207"/>
    </row>
    <row r="1258" ht="12.75">
      <c r="B1258" s="207"/>
    </row>
    <row r="1259" ht="12.75">
      <c r="B1259" s="207"/>
    </row>
    <row r="1260" ht="12.75">
      <c r="B1260" s="207"/>
    </row>
    <row r="1261" ht="12.75">
      <c r="B1261" s="207"/>
    </row>
    <row r="1262" ht="12.75">
      <c r="B1262" s="207"/>
    </row>
    <row r="1263" ht="12.75">
      <c r="B1263" s="207"/>
    </row>
    <row r="1264" ht="12.75">
      <c r="B1264" s="207"/>
    </row>
    <row r="1265" ht="12.75">
      <c r="B1265" s="207"/>
    </row>
    <row r="1266" ht="12.75">
      <c r="B1266" s="207"/>
    </row>
    <row r="1267" ht="12.75">
      <c r="B1267" s="207"/>
    </row>
    <row r="1268" ht="12.75">
      <c r="B1268" s="207"/>
    </row>
    <row r="1269" ht="12.75">
      <c r="B1269" s="207"/>
    </row>
    <row r="1270" ht="12.75">
      <c r="B1270" s="207"/>
    </row>
    <row r="1271" ht="12.75">
      <c r="B1271" s="207"/>
    </row>
    <row r="1272" ht="12.75">
      <c r="B1272" s="207"/>
    </row>
    <row r="1273" ht="12.75">
      <c r="B1273" s="207"/>
    </row>
    <row r="1274" ht="12.75">
      <c r="B1274" s="207"/>
    </row>
    <row r="1275" ht="12.75">
      <c r="B1275" s="207"/>
    </row>
    <row r="1276" ht="12.75">
      <c r="B1276" s="207"/>
    </row>
    <row r="1277" ht="12.75">
      <c r="B1277" s="207"/>
    </row>
    <row r="1278" ht="12.75">
      <c r="B1278" s="207"/>
    </row>
    <row r="1279" ht="12.75">
      <c r="B1279" s="207"/>
    </row>
    <row r="1280" ht="12.75">
      <c r="B1280" s="207"/>
    </row>
    <row r="1281" ht="12.75">
      <c r="B1281" s="207"/>
    </row>
    <row r="1282" ht="12.75">
      <c r="B1282" s="207"/>
    </row>
    <row r="1283" ht="12.75">
      <c r="B1283" s="207"/>
    </row>
    <row r="1284" ht="12.75">
      <c r="B1284" s="207"/>
    </row>
    <row r="1285" ht="12.75">
      <c r="B1285" s="207"/>
    </row>
    <row r="1286" ht="12.75">
      <c r="B1286" s="207"/>
    </row>
    <row r="1287" ht="12.75">
      <c r="B1287" s="207"/>
    </row>
    <row r="1288" ht="12.75">
      <c r="B1288" s="207"/>
    </row>
    <row r="1289" ht="12.75">
      <c r="B1289" s="207"/>
    </row>
    <row r="1290" ht="12.75">
      <c r="B1290" s="207"/>
    </row>
    <row r="1291" ht="12.75">
      <c r="B1291" s="207"/>
    </row>
    <row r="1292" ht="12.75">
      <c r="B1292" s="207"/>
    </row>
    <row r="1293" ht="12.75">
      <c r="B1293" s="207"/>
    </row>
    <row r="1294" ht="12.75">
      <c r="B1294" s="207"/>
    </row>
    <row r="1295" ht="12.75">
      <c r="B1295" s="207"/>
    </row>
    <row r="1296" ht="12.75">
      <c r="B1296" s="207"/>
    </row>
    <row r="1297" ht="12.75">
      <c r="B1297" s="207"/>
    </row>
    <row r="1298" ht="12.75">
      <c r="B1298" s="207"/>
    </row>
    <row r="1299" ht="12.75">
      <c r="B1299" s="207"/>
    </row>
    <row r="1300" ht="12.75">
      <c r="B1300" s="207"/>
    </row>
    <row r="1301" ht="12.75">
      <c r="B1301" s="207"/>
    </row>
    <row r="1302" ht="12.75">
      <c r="B1302" s="207"/>
    </row>
    <row r="1303" ht="12.75">
      <c r="B1303" s="207"/>
    </row>
    <row r="1304" ht="12.75">
      <c r="B1304" s="207"/>
    </row>
    <row r="1305" ht="12.75">
      <c r="B1305" s="207"/>
    </row>
    <row r="1306" ht="12.75">
      <c r="B1306" s="207"/>
    </row>
    <row r="1307" ht="12.75">
      <c r="B1307" s="207"/>
    </row>
    <row r="1308" ht="12.75">
      <c r="B1308" s="207"/>
    </row>
    <row r="1309" ht="12.75">
      <c r="B1309" s="207"/>
    </row>
    <row r="1310" ht="12.75">
      <c r="B1310" s="207"/>
    </row>
    <row r="1311" ht="12.75">
      <c r="B1311" s="207"/>
    </row>
    <row r="1312" ht="12.75">
      <c r="B1312" s="207"/>
    </row>
    <row r="1313" ht="12.75">
      <c r="B1313" s="207"/>
    </row>
    <row r="1314" ht="12.75">
      <c r="B1314" s="207"/>
    </row>
    <row r="1315" ht="12.75">
      <c r="B1315" s="207"/>
    </row>
    <row r="1316" ht="12.75">
      <c r="B1316" s="207"/>
    </row>
    <row r="1317" ht="12.75">
      <c r="B1317" s="207"/>
    </row>
    <row r="1318" ht="12.75">
      <c r="B1318" s="207"/>
    </row>
    <row r="1319" ht="12.75">
      <c r="B1319" s="207"/>
    </row>
    <row r="1320" ht="12.75">
      <c r="B1320" s="207"/>
    </row>
    <row r="1321" ht="12.75">
      <c r="B1321" s="207"/>
    </row>
    <row r="1322" ht="12.75">
      <c r="B1322" s="207"/>
    </row>
    <row r="1323" ht="12.75">
      <c r="B1323" s="207"/>
    </row>
    <row r="1324" ht="12.75">
      <c r="B1324" s="207"/>
    </row>
    <row r="1325" ht="12.75">
      <c r="B1325" s="207"/>
    </row>
    <row r="1326" ht="12.75">
      <c r="B1326" s="207"/>
    </row>
    <row r="1327" ht="12.75">
      <c r="B1327" s="207"/>
    </row>
    <row r="1328" ht="12.75">
      <c r="B1328" s="207"/>
    </row>
    <row r="1329" ht="12.75">
      <c r="B1329" s="207"/>
    </row>
    <row r="1330" ht="12.75">
      <c r="B1330" s="207"/>
    </row>
    <row r="1331" ht="12.75">
      <c r="B1331" s="207"/>
    </row>
    <row r="1332" ht="12.75">
      <c r="B1332" s="207"/>
    </row>
    <row r="1333" ht="12.75">
      <c r="B1333" s="207"/>
    </row>
    <row r="1334" ht="12.75">
      <c r="B1334" s="207"/>
    </row>
    <row r="1335" ht="12.75">
      <c r="B1335" s="207"/>
    </row>
    <row r="1336" ht="12.75">
      <c r="B1336" s="207"/>
    </row>
    <row r="1337" ht="12.75">
      <c r="B1337" s="207"/>
    </row>
    <row r="1338" ht="12.75">
      <c r="B1338" s="207"/>
    </row>
    <row r="1339" ht="12.75">
      <c r="B1339" s="207"/>
    </row>
    <row r="1340" ht="12.75">
      <c r="B1340" s="207"/>
    </row>
    <row r="1341" ht="12.75">
      <c r="B1341" s="207"/>
    </row>
    <row r="1342" ht="12.75">
      <c r="B1342" s="207"/>
    </row>
    <row r="1343" ht="12.75">
      <c r="B1343" s="207"/>
    </row>
    <row r="1344" ht="12.75">
      <c r="B1344" s="207"/>
    </row>
    <row r="1345" ht="12.75">
      <c r="B1345" s="207"/>
    </row>
    <row r="1346" ht="12.75">
      <c r="B1346" s="207"/>
    </row>
    <row r="1347" ht="12.75">
      <c r="B1347" s="207"/>
    </row>
    <row r="1348" ht="12.75">
      <c r="B1348" s="207"/>
    </row>
    <row r="1349" ht="12.75">
      <c r="B1349" s="207"/>
    </row>
    <row r="1350" ht="12.75">
      <c r="B1350" s="207"/>
    </row>
    <row r="1351" ht="12.75">
      <c r="B1351" s="207"/>
    </row>
    <row r="1352" ht="12.75">
      <c r="B1352" s="207"/>
    </row>
    <row r="1353" ht="12.75">
      <c r="B1353" s="207"/>
    </row>
    <row r="1354" ht="12.75">
      <c r="B1354" s="207"/>
    </row>
    <row r="1355" ht="12.75">
      <c r="B1355" s="207"/>
    </row>
    <row r="1356" ht="12.75">
      <c r="B1356" s="207"/>
    </row>
    <row r="1357" ht="12.75">
      <c r="B1357" s="207"/>
    </row>
    <row r="1358" ht="12.75">
      <c r="B1358" s="207"/>
    </row>
    <row r="1359" ht="12.75">
      <c r="B1359" s="207"/>
    </row>
    <row r="1360" ht="12.75">
      <c r="B1360" s="207"/>
    </row>
    <row r="1361" ht="12.75">
      <c r="B1361" s="207"/>
    </row>
    <row r="1362" ht="12.75">
      <c r="B1362" s="207"/>
    </row>
    <row r="1363" ht="12.75">
      <c r="B1363" s="207"/>
    </row>
    <row r="1364" ht="12.75">
      <c r="B1364" s="207"/>
    </row>
    <row r="1365" ht="12.75">
      <c r="B1365" s="207"/>
    </row>
    <row r="1366" ht="12.75">
      <c r="B1366" s="207"/>
    </row>
    <row r="1367" ht="12.75">
      <c r="B1367" s="207"/>
    </row>
    <row r="1368" ht="12.75">
      <c r="B1368" s="207"/>
    </row>
    <row r="1369" ht="12.75">
      <c r="B1369" s="207"/>
    </row>
    <row r="1370" ht="12.75">
      <c r="B1370" s="207"/>
    </row>
    <row r="1371" ht="12.75">
      <c r="B1371" s="207"/>
    </row>
    <row r="1372" ht="12.75">
      <c r="B1372" s="207"/>
    </row>
    <row r="1373" ht="12.75">
      <c r="B1373" s="207"/>
    </row>
    <row r="1374" ht="12.75">
      <c r="B1374" s="207"/>
    </row>
    <row r="1375" ht="12.75">
      <c r="B1375" s="207"/>
    </row>
    <row r="1376" ht="12.75">
      <c r="B1376" s="207"/>
    </row>
    <row r="1377" ht="12.75">
      <c r="B1377" s="207"/>
    </row>
    <row r="1378" ht="12.75">
      <c r="B1378" s="207"/>
    </row>
    <row r="1379" ht="12.75">
      <c r="B1379" s="207"/>
    </row>
    <row r="1380" ht="12.75">
      <c r="B1380" s="207"/>
    </row>
    <row r="1381" ht="12.75">
      <c r="B1381" s="207"/>
    </row>
    <row r="1382" ht="12.75">
      <c r="B1382" s="207"/>
    </row>
    <row r="1383" ht="12.75">
      <c r="B1383" s="207"/>
    </row>
    <row r="1384" ht="12.75">
      <c r="B1384" s="207"/>
    </row>
    <row r="1385" ht="12.75">
      <c r="B1385" s="207"/>
    </row>
    <row r="1386" ht="12.75">
      <c r="B1386" s="207"/>
    </row>
    <row r="1387" ht="12.75">
      <c r="B1387" s="207"/>
    </row>
    <row r="1388" ht="12.75">
      <c r="B1388" s="207"/>
    </row>
    <row r="1389" ht="12.75">
      <c r="B1389" s="207"/>
    </row>
    <row r="1390" ht="12.75">
      <c r="B1390" s="207"/>
    </row>
    <row r="1391" ht="12.75">
      <c r="B1391" s="207"/>
    </row>
    <row r="1392" ht="12.75">
      <c r="B1392" s="207"/>
    </row>
    <row r="1393" ht="12.75">
      <c r="B1393" s="207"/>
    </row>
    <row r="1394" ht="12.75">
      <c r="B1394" s="207"/>
    </row>
    <row r="1395" ht="12.75">
      <c r="B1395" s="207"/>
    </row>
    <row r="1396" ht="12.75">
      <c r="B1396" s="207"/>
    </row>
    <row r="1397" ht="12.75">
      <c r="B1397" s="207"/>
    </row>
    <row r="1398" ht="12.75">
      <c r="B1398" s="207"/>
    </row>
    <row r="1399" ht="12.75">
      <c r="B1399" s="207"/>
    </row>
    <row r="1400" ht="12.75">
      <c r="B1400" s="207"/>
    </row>
    <row r="1401" ht="12.75">
      <c r="B1401" s="207"/>
    </row>
    <row r="1402" ht="12.75">
      <c r="B1402" s="207"/>
    </row>
    <row r="1403" ht="12.75">
      <c r="B1403" s="207"/>
    </row>
    <row r="1404" ht="12.75">
      <c r="B1404" s="207"/>
    </row>
    <row r="1405" ht="12.75">
      <c r="B1405" s="207"/>
    </row>
    <row r="1406" ht="12.75">
      <c r="B1406" s="207"/>
    </row>
    <row r="1407" ht="12.75">
      <c r="B1407" s="207"/>
    </row>
    <row r="1408" ht="12.75">
      <c r="B1408" s="207"/>
    </row>
    <row r="1409" ht="12.75">
      <c r="B1409" s="207"/>
    </row>
    <row r="1410" ht="12.75">
      <c r="B1410" s="207"/>
    </row>
    <row r="1411" ht="12.75">
      <c r="B1411" s="207"/>
    </row>
    <row r="1412" ht="12.75">
      <c r="B1412" s="207"/>
    </row>
    <row r="1413" ht="12.75">
      <c r="B1413" s="207"/>
    </row>
    <row r="1414" ht="12.75">
      <c r="B1414" s="207"/>
    </row>
    <row r="1415" ht="12.75">
      <c r="B1415" s="207"/>
    </row>
    <row r="1416" ht="12.75">
      <c r="B1416" s="207"/>
    </row>
    <row r="1417" ht="12.75">
      <c r="B1417" s="207"/>
    </row>
    <row r="1418" ht="12.75">
      <c r="B1418" s="207"/>
    </row>
    <row r="1419" ht="12.75">
      <c r="B1419" s="207"/>
    </row>
    <row r="1420" ht="12.75">
      <c r="B1420" s="207"/>
    </row>
    <row r="1421" ht="12.75">
      <c r="B1421" s="207"/>
    </row>
    <row r="1422" ht="12.75">
      <c r="B1422" s="207"/>
    </row>
    <row r="1423" ht="12.75">
      <c r="B1423" s="207"/>
    </row>
    <row r="1424" ht="12.75">
      <c r="B1424" s="207"/>
    </row>
    <row r="1425" ht="12.75">
      <c r="B1425" s="207"/>
    </row>
    <row r="1426" ht="12.75">
      <c r="B1426" s="207"/>
    </row>
    <row r="1427" ht="12.75">
      <c r="B1427" s="207"/>
    </row>
    <row r="1428" ht="12.75">
      <c r="B1428" s="207"/>
    </row>
    <row r="1429" ht="12.75">
      <c r="B1429" s="207"/>
    </row>
    <row r="1430" ht="12.75">
      <c r="B1430" s="207"/>
    </row>
    <row r="1431" ht="12.75">
      <c r="B1431" s="207"/>
    </row>
    <row r="1432" ht="12.75">
      <c r="B1432" s="207"/>
    </row>
    <row r="1433" ht="12.75">
      <c r="B1433" s="207"/>
    </row>
    <row r="1434" ht="12.75">
      <c r="B1434" s="207"/>
    </row>
    <row r="1435" ht="12.75">
      <c r="B1435" s="207"/>
    </row>
    <row r="1436" ht="12.75">
      <c r="B1436" s="207"/>
    </row>
    <row r="1437" ht="12.75">
      <c r="B1437" s="207"/>
    </row>
    <row r="1438" ht="12.75">
      <c r="B1438" s="207"/>
    </row>
    <row r="1439" ht="12.75">
      <c r="B1439" s="207"/>
    </row>
    <row r="1440" ht="12.75">
      <c r="B1440" s="207"/>
    </row>
    <row r="1441" ht="12.75">
      <c r="B1441" s="207"/>
    </row>
    <row r="1442" ht="12.75">
      <c r="B1442" s="207"/>
    </row>
    <row r="1443" ht="12.75">
      <c r="B1443" s="207"/>
    </row>
    <row r="1444" ht="12.75">
      <c r="B1444" s="207"/>
    </row>
    <row r="1445" ht="12.75">
      <c r="B1445" s="207"/>
    </row>
    <row r="1446" ht="12.75">
      <c r="B1446" s="207"/>
    </row>
    <row r="1447" ht="12.75">
      <c r="B1447" s="207"/>
    </row>
    <row r="1448" ht="12.75">
      <c r="B1448" s="207"/>
    </row>
    <row r="1449" ht="12.75">
      <c r="B1449" s="207"/>
    </row>
    <row r="1450" ht="12.75">
      <c r="B1450" s="207"/>
    </row>
    <row r="1451" ht="12.75">
      <c r="B1451" s="207"/>
    </row>
    <row r="1452" ht="12.75">
      <c r="B1452" s="207"/>
    </row>
    <row r="1453" ht="12.75">
      <c r="B1453" s="207"/>
    </row>
    <row r="1454" ht="12.75">
      <c r="B1454" s="207"/>
    </row>
    <row r="1455" ht="12.75">
      <c r="B1455" s="207"/>
    </row>
    <row r="1456" ht="12.75">
      <c r="B1456" s="207"/>
    </row>
    <row r="1457" ht="12.75">
      <c r="B1457" s="207"/>
    </row>
    <row r="1458" ht="12.75">
      <c r="B1458" s="207"/>
    </row>
    <row r="1459" ht="12.75">
      <c r="B1459" s="207"/>
    </row>
    <row r="1460" ht="12.75">
      <c r="B1460" s="207"/>
    </row>
    <row r="1461" ht="12.75">
      <c r="B1461" s="207"/>
    </row>
    <row r="1462" ht="12.75">
      <c r="B1462" s="207"/>
    </row>
    <row r="1463" ht="12.75">
      <c r="B1463" s="207"/>
    </row>
    <row r="1464" ht="12.75">
      <c r="B1464" s="207"/>
    </row>
    <row r="1465" ht="12.75">
      <c r="B1465" s="207"/>
    </row>
    <row r="1466" ht="12.75">
      <c r="B1466" s="207"/>
    </row>
    <row r="1467" ht="12.75">
      <c r="B1467" s="207"/>
    </row>
    <row r="1468" ht="12.75">
      <c r="B1468" s="207"/>
    </row>
    <row r="1469" ht="12.75">
      <c r="B1469" s="207"/>
    </row>
    <row r="1470" ht="12.75">
      <c r="B1470" s="207"/>
    </row>
    <row r="1471" ht="12.75">
      <c r="B1471" s="207"/>
    </row>
    <row r="1472" ht="12.75">
      <c r="B1472" s="207"/>
    </row>
    <row r="1473" ht="12.75">
      <c r="B1473" s="207"/>
    </row>
    <row r="1474" ht="12.75">
      <c r="B1474" s="207"/>
    </row>
    <row r="1475" ht="12.75">
      <c r="B1475" s="207"/>
    </row>
    <row r="1476" ht="12.75">
      <c r="B1476" s="207"/>
    </row>
    <row r="1477" ht="12.75">
      <c r="B1477" s="207"/>
    </row>
    <row r="1478" ht="12.75">
      <c r="B1478" s="207"/>
    </row>
    <row r="1479" ht="12.75">
      <c r="B1479" s="207"/>
    </row>
    <row r="1480" ht="12.75">
      <c r="B1480" s="207"/>
    </row>
    <row r="1481" ht="12.75">
      <c r="B1481" s="207"/>
    </row>
    <row r="1482" ht="12.75">
      <c r="B1482" s="207"/>
    </row>
    <row r="1483" ht="12.75">
      <c r="B1483" s="207"/>
    </row>
    <row r="1484" ht="12.75">
      <c r="B1484" s="207"/>
    </row>
    <row r="1485" ht="12.75">
      <c r="B1485" s="207"/>
    </row>
    <row r="1486" ht="12.75">
      <c r="B1486" s="207"/>
    </row>
    <row r="1487" ht="12.75">
      <c r="B1487" s="207"/>
    </row>
    <row r="1488" ht="12.75">
      <c r="B1488" s="207"/>
    </row>
    <row r="1489" ht="12.75">
      <c r="B1489" s="207"/>
    </row>
    <row r="1490" ht="12.75">
      <c r="B1490" s="207"/>
    </row>
    <row r="1491" ht="12.75">
      <c r="B1491" s="207"/>
    </row>
    <row r="1492" ht="12.75">
      <c r="B1492" s="207"/>
    </row>
    <row r="1493" ht="12.75">
      <c r="B1493" s="207"/>
    </row>
    <row r="1494" ht="12.75">
      <c r="B1494" s="207"/>
    </row>
    <row r="1495" ht="12.75">
      <c r="B1495" s="207"/>
    </row>
    <row r="1496" ht="12.75">
      <c r="B1496" s="207"/>
    </row>
    <row r="1497" ht="12.75">
      <c r="B1497" s="207"/>
    </row>
    <row r="1498" ht="12.75">
      <c r="B1498" s="207"/>
    </row>
    <row r="1499" ht="12.75">
      <c r="B1499" s="207"/>
    </row>
    <row r="1500" ht="12.75">
      <c r="B1500" s="207"/>
    </row>
    <row r="1501" ht="12.75">
      <c r="B1501" s="207"/>
    </row>
    <row r="1502" ht="12.75">
      <c r="B1502" s="207"/>
    </row>
    <row r="1503" ht="12.75">
      <c r="B1503" s="207"/>
    </row>
    <row r="1504" ht="12.75">
      <c r="B1504" s="207"/>
    </row>
    <row r="1505" ht="12.75">
      <c r="B1505" s="207"/>
    </row>
    <row r="1506" ht="12.75">
      <c r="B1506" s="207"/>
    </row>
    <row r="1507" ht="12.75">
      <c r="B1507" s="207"/>
    </row>
    <row r="1508" ht="12.75">
      <c r="B1508" s="207"/>
    </row>
    <row r="1509" ht="12.75">
      <c r="B1509" s="207"/>
    </row>
    <row r="1510" ht="12.75">
      <c r="B1510" s="207"/>
    </row>
    <row r="1511" ht="12.75">
      <c r="B1511" s="207"/>
    </row>
    <row r="1512" ht="12.75">
      <c r="B1512" s="207"/>
    </row>
    <row r="1513" ht="12.75">
      <c r="B1513" s="207"/>
    </row>
    <row r="1514" ht="12.75">
      <c r="B1514" s="207"/>
    </row>
    <row r="1515" ht="12.75">
      <c r="B1515" s="207"/>
    </row>
    <row r="1516" ht="12.75">
      <c r="B1516" s="207"/>
    </row>
    <row r="1517" ht="12.75">
      <c r="B1517" s="207"/>
    </row>
    <row r="1518" ht="12.75">
      <c r="B1518" s="207"/>
    </row>
    <row r="1519" ht="12.75">
      <c r="B1519" s="207"/>
    </row>
    <row r="1520" ht="12.75">
      <c r="B1520" s="207"/>
    </row>
    <row r="1521" ht="12.75">
      <c r="B1521" s="207"/>
    </row>
    <row r="1522" ht="12.75">
      <c r="B1522" s="207"/>
    </row>
    <row r="1523" ht="12.75">
      <c r="B1523" s="207"/>
    </row>
    <row r="1524" ht="12.75">
      <c r="B1524" s="207"/>
    </row>
    <row r="1525" ht="12.75">
      <c r="B1525" s="207"/>
    </row>
    <row r="1526" ht="12.75">
      <c r="B1526" s="207"/>
    </row>
    <row r="1527" ht="12.75">
      <c r="B1527" s="207"/>
    </row>
    <row r="1528" ht="12.75">
      <c r="B1528" s="207"/>
    </row>
    <row r="1529" ht="12.75">
      <c r="B1529" s="207"/>
    </row>
    <row r="1530" ht="12.75">
      <c r="B1530" s="207"/>
    </row>
    <row r="1531" ht="12.75">
      <c r="B1531" s="207"/>
    </row>
    <row r="1532" ht="12.75">
      <c r="B1532" s="207"/>
    </row>
    <row r="1533" ht="12.75">
      <c r="B1533" s="207"/>
    </row>
    <row r="1534" ht="12.75">
      <c r="B1534" s="207"/>
    </row>
    <row r="1535" ht="12.75">
      <c r="B1535" s="207"/>
    </row>
    <row r="1536" ht="12.75">
      <c r="B1536" s="207"/>
    </row>
    <row r="1537" ht="12.75">
      <c r="B1537" s="207"/>
    </row>
    <row r="1538" ht="12.75">
      <c r="B1538" s="207"/>
    </row>
    <row r="1539" ht="12.75">
      <c r="B1539" s="207"/>
    </row>
    <row r="1540" ht="12.75">
      <c r="B1540" s="207"/>
    </row>
    <row r="1541" ht="12.75">
      <c r="B1541" s="207"/>
    </row>
    <row r="1542" ht="12.75">
      <c r="B1542" s="207"/>
    </row>
    <row r="1543" ht="12.75">
      <c r="B1543" s="207"/>
    </row>
    <row r="1544" ht="12.75">
      <c r="B1544" s="207"/>
    </row>
    <row r="1545" ht="12.75">
      <c r="B1545" s="207"/>
    </row>
    <row r="1546" ht="12.75">
      <c r="B1546" s="207"/>
    </row>
    <row r="1547" ht="12.75">
      <c r="B1547" s="207"/>
    </row>
    <row r="1548" ht="12.75">
      <c r="B1548" s="207"/>
    </row>
    <row r="1549" ht="12.75">
      <c r="B1549" s="207"/>
    </row>
    <row r="1550" ht="12.75">
      <c r="B1550" s="207"/>
    </row>
    <row r="1551" ht="12.75">
      <c r="B1551" s="207"/>
    </row>
    <row r="1552" ht="12.75">
      <c r="B1552" s="207"/>
    </row>
    <row r="1553" ht="12.75">
      <c r="B1553" s="207"/>
    </row>
    <row r="1554" ht="12.75">
      <c r="B1554" s="207"/>
    </row>
    <row r="1555" ht="12.75">
      <c r="B1555" s="207"/>
    </row>
    <row r="1556" ht="12.75">
      <c r="B1556" s="207"/>
    </row>
    <row r="1557" ht="12.75">
      <c r="B1557" s="207"/>
    </row>
    <row r="1558" ht="12.75">
      <c r="B1558" s="207"/>
    </row>
    <row r="1559" ht="12.75">
      <c r="B1559" s="207"/>
    </row>
    <row r="1560" ht="12.75">
      <c r="B1560" s="207"/>
    </row>
    <row r="1561" ht="12.75">
      <c r="B1561" s="207"/>
    </row>
    <row r="1562" ht="12.75">
      <c r="B1562" s="207"/>
    </row>
    <row r="1563" ht="12.75">
      <c r="B1563" s="207"/>
    </row>
    <row r="1564" ht="12.75">
      <c r="B1564" s="207"/>
    </row>
    <row r="1565" ht="12.75">
      <c r="B1565" s="207"/>
    </row>
    <row r="1566" ht="12.75">
      <c r="B1566" s="207"/>
    </row>
    <row r="1567" ht="12.75">
      <c r="B1567" s="207"/>
    </row>
    <row r="1568" ht="12.75">
      <c r="B1568" s="207"/>
    </row>
    <row r="1569" ht="12.75">
      <c r="B1569" s="207"/>
    </row>
    <row r="1570" ht="12.75">
      <c r="B1570" s="207"/>
    </row>
    <row r="1571" ht="12.75">
      <c r="B1571" s="207"/>
    </row>
    <row r="1572" ht="12.75">
      <c r="B1572" s="207"/>
    </row>
    <row r="1573" ht="12.75">
      <c r="B1573" s="207"/>
    </row>
    <row r="1574" ht="12.75">
      <c r="B1574" s="207"/>
    </row>
    <row r="1575" ht="12.75">
      <c r="B1575" s="207"/>
    </row>
    <row r="1576" ht="12.75">
      <c r="B1576" s="207"/>
    </row>
    <row r="1577" ht="12.75">
      <c r="B1577" s="207"/>
    </row>
    <row r="1578" ht="12.75">
      <c r="B1578" s="207"/>
    </row>
    <row r="1579" ht="12.75">
      <c r="B1579" s="207"/>
    </row>
    <row r="1580" ht="12.75">
      <c r="B1580" s="207"/>
    </row>
    <row r="1581" ht="12.75">
      <c r="B1581" s="207"/>
    </row>
    <row r="1582" ht="12.75">
      <c r="B1582" s="207"/>
    </row>
    <row r="1583" ht="12.75">
      <c r="B1583" s="207"/>
    </row>
    <row r="1584" ht="12.75">
      <c r="B1584" s="207"/>
    </row>
    <row r="1585" ht="12.75">
      <c r="B1585" s="207"/>
    </row>
    <row r="1586" ht="12.75">
      <c r="B1586" s="207"/>
    </row>
    <row r="1587" ht="12.75">
      <c r="B1587" s="207"/>
    </row>
    <row r="1588" ht="12.75">
      <c r="B1588" s="207"/>
    </row>
    <row r="1589" ht="12.75">
      <c r="B1589" s="207"/>
    </row>
    <row r="1590" ht="12.75">
      <c r="B1590" s="207"/>
    </row>
    <row r="1591" ht="12.75">
      <c r="B1591" s="207"/>
    </row>
    <row r="1592" ht="12.75">
      <c r="B1592" s="207"/>
    </row>
    <row r="1593" ht="12.75">
      <c r="B1593" s="207"/>
    </row>
    <row r="1594" ht="12.75">
      <c r="B1594" s="207"/>
    </row>
    <row r="1595" ht="12.75">
      <c r="B1595" s="207"/>
    </row>
    <row r="1596" ht="12.75">
      <c r="B1596" s="207"/>
    </row>
    <row r="1597" ht="12.75">
      <c r="B1597" s="207"/>
    </row>
    <row r="1598" ht="12.75">
      <c r="B1598" s="207"/>
    </row>
    <row r="1599" ht="12.75">
      <c r="B1599" s="207"/>
    </row>
    <row r="1600" ht="12.75">
      <c r="B1600" s="207"/>
    </row>
    <row r="1601" ht="12.75">
      <c r="B1601" s="207"/>
    </row>
    <row r="1602" ht="12.75">
      <c r="B1602" s="207"/>
    </row>
    <row r="1603" ht="12.75">
      <c r="B1603" s="207"/>
    </row>
    <row r="1604" ht="12.75">
      <c r="B1604" s="207"/>
    </row>
    <row r="1605" ht="12.75">
      <c r="B1605" s="207"/>
    </row>
    <row r="1606" ht="12.75">
      <c r="B1606" s="207"/>
    </row>
    <row r="1607" ht="12.75">
      <c r="B1607" s="207"/>
    </row>
    <row r="1608" ht="12.75">
      <c r="B1608" s="207"/>
    </row>
    <row r="1609" ht="12.75">
      <c r="B1609" s="207"/>
    </row>
    <row r="1610" ht="12.75">
      <c r="B1610" s="207"/>
    </row>
    <row r="1611" ht="12.75">
      <c r="B1611" s="207"/>
    </row>
    <row r="1612" ht="12.75">
      <c r="B1612" s="207"/>
    </row>
    <row r="1613" ht="12.75">
      <c r="B1613" s="207"/>
    </row>
    <row r="1614" ht="12.75">
      <c r="B1614" s="207"/>
    </row>
    <row r="1615" ht="12.75">
      <c r="B1615" s="207"/>
    </row>
    <row r="1616" ht="12.75">
      <c r="B1616" s="207"/>
    </row>
    <row r="1617" ht="12.75">
      <c r="B1617" s="207"/>
    </row>
    <row r="1618" ht="12.75">
      <c r="B1618" s="207"/>
    </row>
    <row r="1619" ht="12.75">
      <c r="B1619" s="207"/>
    </row>
    <row r="1620" ht="12.75">
      <c r="B1620" s="207"/>
    </row>
    <row r="1621" ht="12.75">
      <c r="B1621" s="207"/>
    </row>
    <row r="1622" ht="12.75">
      <c r="B1622" s="207"/>
    </row>
    <row r="1623" ht="12.75">
      <c r="B1623" s="207"/>
    </row>
    <row r="1624" ht="12.75">
      <c r="B1624" s="207"/>
    </row>
    <row r="1625" ht="12.75">
      <c r="B1625" s="207"/>
    </row>
    <row r="1626" ht="12.75">
      <c r="B1626" s="207"/>
    </row>
    <row r="1627" ht="12.75">
      <c r="B1627" s="207"/>
    </row>
    <row r="1628" ht="12.75">
      <c r="B1628" s="207"/>
    </row>
    <row r="1629" ht="12.75">
      <c r="B1629" s="207"/>
    </row>
    <row r="1630" ht="12.75">
      <c r="B1630" s="207"/>
    </row>
    <row r="1631" ht="12.75">
      <c r="B1631" s="207"/>
    </row>
    <row r="1632" ht="12.75">
      <c r="B1632" s="207"/>
    </row>
    <row r="1633" ht="12.75">
      <c r="B1633" s="207"/>
    </row>
    <row r="1634" ht="12.75">
      <c r="B1634" s="207"/>
    </row>
    <row r="1635" ht="12.75">
      <c r="B1635" s="207"/>
    </row>
    <row r="1636" ht="12.75">
      <c r="B1636" s="207"/>
    </row>
    <row r="1637" ht="12.75">
      <c r="B1637" s="207"/>
    </row>
    <row r="1638" ht="12.75">
      <c r="B1638" s="207"/>
    </row>
    <row r="1639" ht="12.75">
      <c r="B1639" s="207"/>
    </row>
    <row r="1640" ht="12.75">
      <c r="B1640" s="207"/>
    </row>
    <row r="1641" ht="12.75">
      <c r="B1641" s="207"/>
    </row>
    <row r="1642" ht="12.75">
      <c r="B1642" s="207"/>
    </row>
    <row r="1643" ht="12.75">
      <c r="B1643" s="207"/>
    </row>
    <row r="1644" ht="12.75">
      <c r="B1644" s="207"/>
    </row>
    <row r="1645" ht="12.75">
      <c r="B1645" s="207"/>
    </row>
    <row r="1646" ht="12.75">
      <c r="B1646" s="207"/>
    </row>
    <row r="1647" ht="12.75">
      <c r="B1647" s="207"/>
    </row>
    <row r="1648" ht="12.75">
      <c r="B1648" s="207"/>
    </row>
    <row r="1649" ht="12.75">
      <c r="B1649" s="207"/>
    </row>
    <row r="1650" ht="12.75">
      <c r="B1650" s="207"/>
    </row>
    <row r="1651" ht="12.75">
      <c r="B1651" s="207"/>
    </row>
    <row r="1652" ht="12.75">
      <c r="B1652" s="207"/>
    </row>
    <row r="1653" ht="12.75">
      <c r="B1653" s="207"/>
    </row>
    <row r="1654" ht="12.75">
      <c r="B1654" s="207"/>
    </row>
    <row r="1655" ht="12.75">
      <c r="B1655" s="207"/>
    </row>
    <row r="1656" ht="12.75">
      <c r="B1656" s="207"/>
    </row>
    <row r="1657" ht="12.75">
      <c r="B1657" s="207"/>
    </row>
    <row r="1658" ht="12.75">
      <c r="B1658" s="207"/>
    </row>
    <row r="1659" ht="12.75">
      <c r="B1659" s="207"/>
    </row>
    <row r="1660" ht="12.75">
      <c r="B1660" s="207"/>
    </row>
    <row r="1661" ht="12.75">
      <c r="B1661" s="207"/>
    </row>
    <row r="1662" ht="12.75">
      <c r="B1662" s="207"/>
    </row>
    <row r="1663" ht="12.75">
      <c r="B1663" s="207"/>
    </row>
    <row r="1664" ht="12.75">
      <c r="B1664" s="207"/>
    </row>
    <row r="1665" ht="12.75">
      <c r="B1665" s="207"/>
    </row>
    <row r="1666" ht="12.75">
      <c r="B1666" s="207"/>
    </row>
    <row r="1667" ht="12.75">
      <c r="B1667" s="207"/>
    </row>
    <row r="1668" ht="12.75">
      <c r="B1668" s="207"/>
    </row>
    <row r="1669" ht="12.75">
      <c r="B1669" s="207"/>
    </row>
    <row r="1670" ht="12.75">
      <c r="B1670" s="207"/>
    </row>
    <row r="1671" ht="12.75">
      <c r="B1671" s="207"/>
    </row>
    <row r="1672" ht="12.75">
      <c r="B1672" s="207"/>
    </row>
    <row r="1673" ht="12.75">
      <c r="B1673" s="207"/>
    </row>
    <row r="1674" ht="12.75">
      <c r="B1674" s="207"/>
    </row>
    <row r="1675" ht="12.75">
      <c r="B1675" s="207"/>
    </row>
    <row r="1676" ht="12.75">
      <c r="B1676" s="207"/>
    </row>
    <row r="1677" ht="12.75">
      <c r="B1677" s="207"/>
    </row>
    <row r="1678" ht="12.75">
      <c r="B1678" s="207"/>
    </row>
    <row r="1679" ht="12.75">
      <c r="B1679" s="207"/>
    </row>
    <row r="1680" ht="12.75">
      <c r="B1680" s="207"/>
    </row>
    <row r="1681" ht="12.75">
      <c r="B1681" s="207"/>
    </row>
    <row r="1682" ht="12.75">
      <c r="B1682" s="207"/>
    </row>
    <row r="1683" ht="12.75">
      <c r="B1683" s="207"/>
    </row>
    <row r="1684" ht="12.75">
      <c r="B1684" s="207"/>
    </row>
    <row r="1685" ht="12.75">
      <c r="B1685" s="207"/>
    </row>
    <row r="1686" ht="12.75">
      <c r="B1686" s="207"/>
    </row>
    <row r="1687" ht="12.75">
      <c r="B1687" s="207"/>
    </row>
    <row r="1688" ht="12.75">
      <c r="B1688" s="207"/>
    </row>
    <row r="1689" ht="12.75">
      <c r="B1689" s="207"/>
    </row>
    <row r="1690" ht="12.75">
      <c r="B1690" s="207"/>
    </row>
    <row r="1691" ht="12.75">
      <c r="B1691" s="207"/>
    </row>
    <row r="1692" ht="12.75">
      <c r="B1692" s="207"/>
    </row>
    <row r="1693" ht="12.75">
      <c r="B1693" s="207"/>
    </row>
    <row r="1694" ht="12.75">
      <c r="B1694" s="207"/>
    </row>
    <row r="1695" ht="12.75">
      <c r="B1695" s="207"/>
    </row>
    <row r="1696" ht="12.75">
      <c r="B1696" s="207"/>
    </row>
    <row r="1697" ht="12.75">
      <c r="B1697" s="207"/>
    </row>
    <row r="1698" ht="12.75">
      <c r="B1698" s="207"/>
    </row>
    <row r="1699" ht="12.75">
      <c r="B1699" s="207"/>
    </row>
    <row r="1700" ht="12.75">
      <c r="B1700" s="207"/>
    </row>
    <row r="1701" ht="12.75">
      <c r="B1701" s="207"/>
    </row>
    <row r="1702" ht="12.75">
      <c r="B1702" s="207"/>
    </row>
    <row r="1703" ht="12.75">
      <c r="B1703" s="207"/>
    </row>
    <row r="1704" ht="12.75">
      <c r="B1704" s="207"/>
    </row>
    <row r="1705" ht="12.75">
      <c r="B1705" s="207"/>
    </row>
    <row r="1706" ht="12.75">
      <c r="B1706" s="207"/>
    </row>
    <row r="1707" ht="12.75">
      <c r="B1707" s="207"/>
    </row>
    <row r="1708" ht="12.75">
      <c r="B1708" s="207"/>
    </row>
    <row r="1709" ht="12.75">
      <c r="B1709" s="207"/>
    </row>
    <row r="1710" ht="12.75">
      <c r="B1710" s="207"/>
    </row>
    <row r="1711" ht="12.75">
      <c r="B1711" s="207"/>
    </row>
    <row r="1712" ht="12.75">
      <c r="B1712" s="207"/>
    </row>
    <row r="1713" ht="12.75">
      <c r="B1713" s="207"/>
    </row>
    <row r="1714" ht="12.75">
      <c r="B1714" s="207"/>
    </row>
    <row r="1715" ht="12.75">
      <c r="B1715" s="207"/>
    </row>
    <row r="1716" ht="12.75">
      <c r="B1716" s="207"/>
    </row>
    <row r="1717" ht="12.75">
      <c r="B1717" s="207"/>
    </row>
    <row r="1718" ht="12.75">
      <c r="B1718" s="207"/>
    </row>
    <row r="1719" ht="12.75">
      <c r="B1719" s="207"/>
    </row>
    <row r="1720" ht="12.75">
      <c r="B1720" s="207"/>
    </row>
    <row r="1721" ht="12.75">
      <c r="B1721" s="207"/>
    </row>
    <row r="1722" ht="12.75">
      <c r="B1722" s="207"/>
    </row>
    <row r="1723" ht="12.75">
      <c r="B1723" s="207"/>
    </row>
    <row r="1724" ht="12.75">
      <c r="B1724" s="207"/>
    </row>
    <row r="1725" ht="12.75">
      <c r="B1725" s="207"/>
    </row>
    <row r="1726" ht="12.75">
      <c r="B1726" s="207"/>
    </row>
    <row r="1727" ht="12.75">
      <c r="B1727" s="207"/>
    </row>
    <row r="1728" ht="12.75">
      <c r="B1728" s="207"/>
    </row>
    <row r="1729" ht="12.75">
      <c r="B1729" s="207"/>
    </row>
    <row r="1730" ht="12.75">
      <c r="B1730" s="207"/>
    </row>
    <row r="1731" ht="12.75">
      <c r="B1731" s="207"/>
    </row>
    <row r="1732" ht="12.75">
      <c r="B1732" s="207"/>
    </row>
    <row r="1733" ht="12.75">
      <c r="B1733" s="207"/>
    </row>
    <row r="1734" ht="12.75">
      <c r="B1734" s="207"/>
    </row>
    <row r="1735" ht="12.75">
      <c r="B1735" s="207"/>
    </row>
    <row r="1736" ht="12.75">
      <c r="B1736" s="207"/>
    </row>
    <row r="1737" ht="12.75">
      <c r="B1737" s="207"/>
    </row>
    <row r="1738" ht="12.75">
      <c r="B1738" s="207"/>
    </row>
    <row r="1739" ht="12.75">
      <c r="B1739" s="207"/>
    </row>
    <row r="1740" ht="12.75">
      <c r="B1740" s="207"/>
    </row>
    <row r="1741" ht="12.75">
      <c r="B1741" s="207"/>
    </row>
    <row r="1742" ht="12.75">
      <c r="B1742" s="207"/>
    </row>
    <row r="1743" ht="12.75">
      <c r="B1743" s="207"/>
    </row>
    <row r="1744" ht="12.75">
      <c r="B1744" s="207"/>
    </row>
    <row r="1745" ht="12.75">
      <c r="B1745" s="207"/>
    </row>
    <row r="1746" ht="12.75">
      <c r="B1746" s="207"/>
    </row>
    <row r="1747" ht="12.75">
      <c r="B1747" s="207"/>
    </row>
    <row r="1748" ht="12.75">
      <c r="B1748" s="207"/>
    </row>
    <row r="1749" ht="12.75">
      <c r="B1749" s="207"/>
    </row>
    <row r="1750" ht="12.75">
      <c r="B1750" s="207"/>
    </row>
    <row r="1751" ht="12.75">
      <c r="B1751" s="207"/>
    </row>
    <row r="1752" ht="12.75">
      <c r="B1752" s="207"/>
    </row>
    <row r="1753" ht="12.75">
      <c r="B1753" s="207"/>
    </row>
    <row r="1754" ht="12.75">
      <c r="B1754" s="207"/>
    </row>
    <row r="1755" ht="12.75">
      <c r="B1755" s="207"/>
    </row>
    <row r="1756" ht="12.75">
      <c r="B1756" s="207"/>
    </row>
    <row r="1757" ht="12.75">
      <c r="B1757" s="207"/>
    </row>
    <row r="1758" ht="12.75">
      <c r="B1758" s="207"/>
    </row>
    <row r="1759" ht="12.75">
      <c r="B1759" s="207"/>
    </row>
    <row r="1760" ht="12.75">
      <c r="B1760" s="207"/>
    </row>
    <row r="1761" ht="12.75">
      <c r="B1761" s="207"/>
    </row>
    <row r="1762" ht="12.75">
      <c r="B1762" s="207"/>
    </row>
    <row r="1763" ht="12.75">
      <c r="B1763" s="207"/>
    </row>
    <row r="1764" ht="12.75">
      <c r="B1764" s="207"/>
    </row>
    <row r="1765" ht="12.75">
      <c r="B1765" s="207"/>
    </row>
    <row r="1766" ht="12.75">
      <c r="B1766" s="207"/>
    </row>
    <row r="1767" ht="12.75">
      <c r="B1767" s="207"/>
    </row>
    <row r="1768" ht="12.75">
      <c r="B1768" s="207"/>
    </row>
    <row r="1769" ht="12.75">
      <c r="B1769" s="207"/>
    </row>
    <row r="1770" ht="12.75">
      <c r="B1770" s="207"/>
    </row>
    <row r="1771" ht="12.75">
      <c r="B1771" s="207"/>
    </row>
    <row r="1772" ht="12.75">
      <c r="B1772" s="207"/>
    </row>
    <row r="1773" ht="12.75">
      <c r="B1773" s="207"/>
    </row>
    <row r="1774" ht="12.75">
      <c r="B1774" s="207"/>
    </row>
    <row r="1775" ht="12.75">
      <c r="B1775" s="207"/>
    </row>
    <row r="1776" ht="12.75">
      <c r="B1776" s="207"/>
    </row>
    <row r="1777" ht="12.75">
      <c r="B1777" s="207"/>
    </row>
    <row r="1778" ht="12.75">
      <c r="B1778" s="207"/>
    </row>
    <row r="1779" ht="12.75">
      <c r="B1779" s="207"/>
    </row>
    <row r="1780" ht="12.75">
      <c r="B1780" s="207"/>
    </row>
    <row r="1781" ht="12.75">
      <c r="B1781" s="207"/>
    </row>
    <row r="1782" ht="12.75">
      <c r="B1782" s="207"/>
    </row>
    <row r="1783" ht="12.75">
      <c r="B1783" s="207"/>
    </row>
    <row r="1784" ht="12.75">
      <c r="B1784" s="207"/>
    </row>
    <row r="1785" ht="12.75">
      <c r="B1785" s="207"/>
    </row>
    <row r="1786" ht="12.75">
      <c r="B1786" s="207"/>
    </row>
    <row r="1787" ht="12.75">
      <c r="B1787" s="207"/>
    </row>
    <row r="1788" ht="12.75">
      <c r="B1788" s="207"/>
    </row>
    <row r="1789" ht="12.75">
      <c r="B1789" s="207"/>
    </row>
    <row r="1790" ht="12.75">
      <c r="B1790" s="207"/>
    </row>
    <row r="1791" ht="12.75">
      <c r="B1791" s="207"/>
    </row>
    <row r="1792" ht="12.75">
      <c r="B1792" s="207"/>
    </row>
    <row r="1793" ht="12.75">
      <c r="B1793" s="207"/>
    </row>
    <row r="1794" ht="12.75">
      <c r="B1794" s="207"/>
    </row>
    <row r="1795" ht="12.75">
      <c r="B1795" s="207"/>
    </row>
    <row r="1796" ht="12.75">
      <c r="B1796" s="207"/>
    </row>
    <row r="1797" ht="12.75">
      <c r="B1797" s="207"/>
    </row>
    <row r="1798" ht="12.75">
      <c r="B1798" s="207"/>
    </row>
    <row r="1799" ht="12.75">
      <c r="B1799" s="207"/>
    </row>
    <row r="1800" ht="12.75">
      <c r="B1800" s="207"/>
    </row>
    <row r="1801" ht="12.75">
      <c r="B1801" s="207"/>
    </row>
    <row r="1802" ht="12.75">
      <c r="B1802" s="207"/>
    </row>
    <row r="1803" ht="12.75">
      <c r="B1803" s="207"/>
    </row>
    <row r="1804" ht="12.75">
      <c r="B1804" s="207"/>
    </row>
    <row r="1805" ht="12.75">
      <c r="B1805" s="207"/>
    </row>
    <row r="1806" ht="12.75">
      <c r="B1806" s="207"/>
    </row>
    <row r="1807" ht="12.75">
      <c r="B1807" s="207"/>
    </row>
    <row r="1808" ht="12.75">
      <c r="B1808" s="207"/>
    </row>
    <row r="1809" ht="12.75">
      <c r="B1809" s="207"/>
    </row>
    <row r="1810" ht="12.75">
      <c r="B1810" s="207"/>
    </row>
    <row r="1811" ht="12.75">
      <c r="B1811" s="207"/>
    </row>
    <row r="1812" ht="12.75">
      <c r="B1812" s="207"/>
    </row>
    <row r="1813" ht="12.75">
      <c r="B1813" s="207"/>
    </row>
    <row r="1814" ht="12.75">
      <c r="B1814" s="207"/>
    </row>
    <row r="1815" ht="12.75">
      <c r="B1815" s="207"/>
    </row>
    <row r="1816" ht="12.75">
      <c r="B1816" s="207"/>
    </row>
    <row r="1817" ht="12.75">
      <c r="B1817" s="207"/>
    </row>
    <row r="1818" ht="12.75">
      <c r="B1818" s="207"/>
    </row>
    <row r="1819" ht="12.75">
      <c r="B1819" s="207"/>
    </row>
    <row r="1820" ht="12.75">
      <c r="B1820" s="207"/>
    </row>
    <row r="1821" ht="12.75">
      <c r="B1821" s="207"/>
    </row>
    <row r="1822" ht="12.75">
      <c r="B1822" s="207"/>
    </row>
    <row r="1823" ht="12.75">
      <c r="B1823" s="207"/>
    </row>
    <row r="1824" ht="12.75">
      <c r="B1824" s="207"/>
    </row>
    <row r="1825" ht="12.75">
      <c r="B1825" s="207"/>
    </row>
    <row r="1826" ht="12.75">
      <c r="B1826" s="207"/>
    </row>
    <row r="1827" ht="12.75">
      <c r="B1827" s="207"/>
    </row>
    <row r="1828" ht="12.75">
      <c r="B1828" s="207"/>
    </row>
    <row r="1829" ht="12.75">
      <c r="B1829" s="207"/>
    </row>
    <row r="1830" ht="12.75">
      <c r="B1830" s="207"/>
    </row>
    <row r="1831" ht="12.75">
      <c r="B1831" s="207"/>
    </row>
    <row r="1832" ht="12.75">
      <c r="B1832" s="207"/>
    </row>
    <row r="1833" ht="12.75">
      <c r="B1833" s="207"/>
    </row>
    <row r="1834" ht="12.75">
      <c r="B1834" s="207"/>
    </row>
    <row r="1835" ht="12.75">
      <c r="B1835" s="207"/>
    </row>
    <row r="1836" ht="12.75">
      <c r="B1836" s="207"/>
    </row>
    <row r="1837" ht="12.75">
      <c r="B1837" s="207"/>
    </row>
    <row r="1838" ht="12.75">
      <c r="B1838" s="207"/>
    </row>
    <row r="1839" ht="12.75">
      <c r="B1839" s="207"/>
    </row>
    <row r="1840" ht="12.75">
      <c r="B1840" s="207"/>
    </row>
    <row r="1841" ht="12.75">
      <c r="B1841" s="207"/>
    </row>
    <row r="1842" ht="12.75">
      <c r="B1842" s="207"/>
    </row>
    <row r="1843" ht="12.75">
      <c r="B1843" s="207"/>
    </row>
    <row r="1844" ht="12.75">
      <c r="B1844" s="207"/>
    </row>
    <row r="1845" ht="12.75">
      <c r="B1845" s="207"/>
    </row>
    <row r="1846" ht="12.75">
      <c r="B1846" s="207"/>
    </row>
    <row r="1847" ht="12.75">
      <c r="B1847" s="207"/>
    </row>
    <row r="1848" ht="12.75">
      <c r="B1848" s="207"/>
    </row>
    <row r="1849" ht="12.75">
      <c r="B1849" s="207"/>
    </row>
    <row r="1850" ht="12.75">
      <c r="B1850" s="207"/>
    </row>
    <row r="1851" ht="12.75">
      <c r="B1851" s="207"/>
    </row>
    <row r="1852" ht="12.75">
      <c r="B1852" s="207"/>
    </row>
    <row r="1853" ht="12.75">
      <c r="B1853" s="207"/>
    </row>
    <row r="1854" ht="12.75">
      <c r="B1854" s="207"/>
    </row>
    <row r="1855" ht="12.75">
      <c r="B1855" s="207"/>
    </row>
    <row r="1856" ht="12.75">
      <c r="B1856" s="207"/>
    </row>
    <row r="1857" ht="12.75">
      <c r="B1857" s="207"/>
    </row>
    <row r="1858" ht="12.75">
      <c r="B1858" s="207"/>
    </row>
    <row r="1859" ht="12.75">
      <c r="B1859" s="207"/>
    </row>
    <row r="1860" ht="12.75">
      <c r="B1860" s="207"/>
    </row>
    <row r="1861" ht="12.75">
      <c r="B1861" s="207"/>
    </row>
    <row r="1862" ht="12.75">
      <c r="B1862" s="207"/>
    </row>
    <row r="1863" ht="12.75">
      <c r="B1863" s="207"/>
    </row>
    <row r="1864" ht="12.75">
      <c r="B1864" s="207"/>
    </row>
    <row r="1865" ht="12.75">
      <c r="B1865" s="207"/>
    </row>
    <row r="1866" ht="12.75">
      <c r="B1866" s="207"/>
    </row>
    <row r="1867" ht="12.75">
      <c r="B1867" s="207"/>
    </row>
    <row r="1868" ht="12.75">
      <c r="B1868" s="207"/>
    </row>
    <row r="1869" ht="12.75">
      <c r="B1869" s="207"/>
    </row>
    <row r="1870" ht="12.75">
      <c r="B1870" s="207"/>
    </row>
    <row r="1871" ht="12.75">
      <c r="B1871" s="207"/>
    </row>
    <row r="1872" ht="12.75">
      <c r="B1872" s="207"/>
    </row>
    <row r="1873" ht="12.75">
      <c r="B1873" s="207"/>
    </row>
    <row r="1874" ht="12.75">
      <c r="B1874" s="207"/>
    </row>
    <row r="1875" ht="12.75">
      <c r="B1875" s="207"/>
    </row>
    <row r="1876" ht="12.75">
      <c r="B1876" s="207"/>
    </row>
    <row r="1877" ht="12.75">
      <c r="B1877" s="207"/>
    </row>
    <row r="1878" ht="12.75">
      <c r="B1878" s="207"/>
    </row>
    <row r="1879" ht="12.75">
      <c r="B1879" s="207"/>
    </row>
    <row r="1880" ht="12.75">
      <c r="B1880" s="207"/>
    </row>
    <row r="1881" ht="12.75">
      <c r="B1881" s="207"/>
    </row>
    <row r="1882" ht="12.75">
      <c r="B1882" s="207"/>
    </row>
    <row r="1883" ht="12.75">
      <c r="B1883" s="207"/>
    </row>
    <row r="1884" ht="12.75">
      <c r="B1884" s="207"/>
    </row>
    <row r="1885" ht="12.75">
      <c r="B1885" s="207"/>
    </row>
    <row r="1886" ht="12.75">
      <c r="B1886" s="207"/>
    </row>
    <row r="1887" ht="12.75">
      <c r="B1887" s="207"/>
    </row>
    <row r="1888" ht="12.75">
      <c r="B1888" s="207"/>
    </row>
    <row r="1889" ht="12.75">
      <c r="B1889" s="207"/>
    </row>
    <row r="1890" ht="12.75">
      <c r="B1890" s="207"/>
    </row>
    <row r="1891" ht="12.75">
      <c r="B1891" s="207"/>
    </row>
    <row r="1892" ht="12.75">
      <c r="B1892" s="207"/>
    </row>
    <row r="1893" ht="12.75">
      <c r="B1893" s="207"/>
    </row>
    <row r="1894" ht="12.75">
      <c r="B1894" s="207"/>
    </row>
    <row r="1895" ht="12.75">
      <c r="B1895" s="207"/>
    </row>
    <row r="1896" ht="12.75">
      <c r="B1896" s="207"/>
    </row>
    <row r="1897" ht="12.75">
      <c r="B1897" s="207"/>
    </row>
    <row r="1898" ht="12.75">
      <c r="B1898" s="207"/>
    </row>
    <row r="1899" ht="12.75">
      <c r="B1899" s="207"/>
    </row>
    <row r="1900" ht="12.75">
      <c r="B1900" s="207"/>
    </row>
    <row r="1901" ht="12.75">
      <c r="B1901" s="207"/>
    </row>
    <row r="1902" ht="12.75">
      <c r="B1902" s="207"/>
    </row>
    <row r="1903" ht="12.75">
      <c r="B1903" s="207"/>
    </row>
    <row r="1904" ht="12.75">
      <c r="B1904" s="207"/>
    </row>
    <row r="1905" ht="12.75">
      <c r="B1905" s="207"/>
    </row>
    <row r="1906" ht="12.75">
      <c r="B1906" s="207"/>
    </row>
    <row r="1907" ht="12.75">
      <c r="B1907" s="207"/>
    </row>
    <row r="1908" ht="12.75">
      <c r="B1908" s="207"/>
    </row>
    <row r="1909" ht="12.75">
      <c r="B1909" s="207"/>
    </row>
    <row r="1910" ht="12.75">
      <c r="B1910" s="207"/>
    </row>
    <row r="1911" ht="12.75">
      <c r="B1911" s="207"/>
    </row>
    <row r="1912" ht="12.75">
      <c r="B1912" s="207"/>
    </row>
    <row r="1913" ht="12.75">
      <c r="B1913" s="207"/>
    </row>
    <row r="1914" ht="12.75">
      <c r="B1914" s="207"/>
    </row>
    <row r="1915" ht="12.75">
      <c r="B1915" s="207"/>
    </row>
    <row r="1916" ht="12.75">
      <c r="B1916" s="207"/>
    </row>
    <row r="1917" ht="12.75">
      <c r="B1917" s="207"/>
    </row>
    <row r="1918" ht="12.75">
      <c r="B1918" s="207"/>
    </row>
    <row r="1919" ht="12.75">
      <c r="B1919" s="207"/>
    </row>
    <row r="1920" ht="12.75">
      <c r="B1920" s="207"/>
    </row>
    <row r="1921" ht="12.75">
      <c r="B1921" s="207"/>
    </row>
    <row r="1922" ht="12.75">
      <c r="B1922" s="207"/>
    </row>
    <row r="1923" ht="12.75">
      <c r="B1923" s="207"/>
    </row>
    <row r="1924" ht="12.75">
      <c r="B1924" s="207"/>
    </row>
    <row r="1925" ht="12.75">
      <c r="B1925" s="207"/>
    </row>
    <row r="1926" ht="12.75">
      <c r="B1926" s="207"/>
    </row>
    <row r="1927" ht="12.75">
      <c r="B1927" s="207"/>
    </row>
    <row r="1928" ht="12.75">
      <c r="B1928" s="207"/>
    </row>
    <row r="1929" ht="12.75">
      <c r="B1929" s="207"/>
    </row>
    <row r="1930" ht="12.75">
      <c r="B1930" s="207"/>
    </row>
    <row r="1931" ht="12.75">
      <c r="B1931" s="207"/>
    </row>
    <row r="1932" ht="12.75">
      <c r="B1932" s="207"/>
    </row>
    <row r="1933" ht="12.75">
      <c r="B1933" s="207"/>
    </row>
    <row r="1934" ht="12.75">
      <c r="B1934" s="207"/>
    </row>
    <row r="1935" ht="12.75">
      <c r="B1935" s="207"/>
    </row>
    <row r="1936" ht="12.75">
      <c r="B1936" s="207"/>
    </row>
    <row r="1937" ht="12.75">
      <c r="B1937" s="207"/>
    </row>
    <row r="1938" ht="12.75">
      <c r="B1938" s="207"/>
    </row>
    <row r="1939" ht="12.75">
      <c r="B1939" s="207"/>
    </row>
    <row r="1940" ht="12.75">
      <c r="B1940" s="207"/>
    </row>
    <row r="1941" ht="12.75">
      <c r="B1941" s="207"/>
    </row>
    <row r="1942" ht="12.75">
      <c r="B1942" s="207"/>
    </row>
    <row r="1943" ht="12.75">
      <c r="B1943" s="207"/>
    </row>
    <row r="1944" ht="12.75">
      <c r="B1944" s="207"/>
    </row>
    <row r="1945" ht="12.75">
      <c r="B1945" s="207"/>
    </row>
    <row r="1946" ht="12.75">
      <c r="B1946" s="207"/>
    </row>
    <row r="1947" ht="12.75">
      <c r="B1947" s="207"/>
    </row>
    <row r="1948" ht="12.75">
      <c r="B1948" s="207"/>
    </row>
    <row r="1949" ht="12.75">
      <c r="B1949" s="207"/>
    </row>
    <row r="1950" ht="12.75">
      <c r="B1950" s="207"/>
    </row>
    <row r="1951" ht="12.75">
      <c r="B1951" s="207"/>
    </row>
    <row r="1952" ht="12.75">
      <c r="B1952" s="207"/>
    </row>
    <row r="1953" ht="12.75">
      <c r="B1953" s="207"/>
    </row>
    <row r="1954" ht="12.75">
      <c r="B1954" s="207"/>
    </row>
    <row r="1955" ht="12.75">
      <c r="B1955" s="207"/>
    </row>
    <row r="1956" ht="12.75">
      <c r="B1956" s="207"/>
    </row>
    <row r="1957" ht="12.75">
      <c r="B1957" s="207"/>
    </row>
    <row r="1958" ht="12.75">
      <c r="B1958" s="207"/>
    </row>
    <row r="1959" ht="12.75">
      <c r="B1959" s="207"/>
    </row>
    <row r="1960" ht="12.75">
      <c r="B1960" s="207"/>
    </row>
    <row r="1961" ht="12.75">
      <c r="B1961" s="207"/>
    </row>
    <row r="1962" ht="12.75">
      <c r="B1962" s="207"/>
    </row>
    <row r="1963" ht="12.75">
      <c r="B1963" s="207"/>
    </row>
    <row r="1964" ht="12.75">
      <c r="B1964" s="207"/>
    </row>
    <row r="1965" ht="12.75">
      <c r="B1965" s="207"/>
    </row>
    <row r="1966" ht="12.75">
      <c r="B1966" s="207"/>
    </row>
    <row r="1967" ht="12.75">
      <c r="B1967" s="207"/>
    </row>
    <row r="1968" ht="12.75">
      <c r="B1968" s="207"/>
    </row>
    <row r="1969" ht="12.75">
      <c r="B1969" s="207"/>
    </row>
    <row r="1970" ht="12.75">
      <c r="B1970" s="207"/>
    </row>
    <row r="1971" ht="12.75">
      <c r="B1971" s="207"/>
    </row>
    <row r="1972" ht="12.75">
      <c r="B1972" s="207"/>
    </row>
    <row r="1973" ht="12.75">
      <c r="B1973" s="207"/>
    </row>
    <row r="1974" ht="12.75">
      <c r="B1974" s="207"/>
    </row>
    <row r="1975" ht="12.75">
      <c r="B1975" s="207"/>
    </row>
    <row r="1976" ht="12.75">
      <c r="B1976" s="207"/>
    </row>
    <row r="1977" ht="12.75">
      <c r="B1977" s="207"/>
    </row>
    <row r="1978" ht="12.75">
      <c r="B1978" s="207"/>
    </row>
    <row r="1979" ht="12.75">
      <c r="B1979" s="207"/>
    </row>
    <row r="1980" ht="12.75">
      <c r="B1980" s="207"/>
    </row>
    <row r="1981" ht="12.75">
      <c r="B1981" s="207"/>
    </row>
    <row r="1982" ht="12.75">
      <c r="B1982" s="207"/>
    </row>
    <row r="1983" ht="12.75">
      <c r="B1983" s="207"/>
    </row>
    <row r="1984" ht="12.75">
      <c r="B1984" s="207"/>
    </row>
    <row r="1985" ht="12.75">
      <c r="B1985" s="207"/>
    </row>
    <row r="1986" ht="12.75">
      <c r="B1986" s="207"/>
    </row>
    <row r="1987" ht="12.75">
      <c r="B1987" s="207"/>
    </row>
    <row r="1988" ht="12.75">
      <c r="B1988" s="207"/>
    </row>
    <row r="1989" ht="12.75">
      <c r="B1989" s="207"/>
    </row>
    <row r="1990" ht="12.75">
      <c r="B1990" s="207"/>
    </row>
    <row r="1991" ht="12.75">
      <c r="B1991" s="207"/>
    </row>
    <row r="1992" ht="12.75">
      <c r="B1992" s="207"/>
    </row>
    <row r="1993" ht="12.75">
      <c r="B1993" s="207"/>
    </row>
    <row r="1994" ht="12.75">
      <c r="B1994" s="207"/>
    </row>
    <row r="1995" ht="12.75">
      <c r="B1995" s="207"/>
    </row>
    <row r="1996" ht="12.75">
      <c r="B1996" s="207"/>
    </row>
    <row r="1997" ht="12.75">
      <c r="B1997" s="207"/>
    </row>
    <row r="1998" ht="12.75">
      <c r="B1998" s="207"/>
    </row>
    <row r="1999" ht="12.75">
      <c r="B1999" s="207"/>
    </row>
    <row r="2000" ht="12.75">
      <c r="B2000" s="207"/>
    </row>
    <row r="2001" ht="12.75">
      <c r="B2001" s="207"/>
    </row>
    <row r="2002" ht="12.75">
      <c r="B2002" s="207"/>
    </row>
    <row r="2003" ht="12.75">
      <c r="B2003" s="207"/>
    </row>
    <row r="2004" ht="12.75">
      <c r="B2004" s="207"/>
    </row>
    <row r="2005" ht="12.75">
      <c r="B2005" s="207"/>
    </row>
    <row r="2006" ht="12.75">
      <c r="B2006" s="207"/>
    </row>
    <row r="2007" ht="12.75">
      <c r="B2007" s="207"/>
    </row>
    <row r="2008" ht="12.75">
      <c r="B2008" s="207"/>
    </row>
    <row r="2009" ht="12.75">
      <c r="B2009" s="207"/>
    </row>
    <row r="2010" ht="12.75">
      <c r="B2010" s="207"/>
    </row>
    <row r="2011" ht="12.75">
      <c r="B2011" s="207"/>
    </row>
    <row r="2012" ht="12.75">
      <c r="B2012" s="207"/>
    </row>
    <row r="2013" ht="12.75">
      <c r="B2013" s="207"/>
    </row>
    <row r="2014" ht="12.75">
      <c r="B2014" s="207"/>
    </row>
    <row r="2015" ht="12.75">
      <c r="B2015" s="207"/>
    </row>
    <row r="2016" ht="12.75">
      <c r="B2016" s="207"/>
    </row>
    <row r="2017" ht="12.75">
      <c r="B2017" s="207"/>
    </row>
    <row r="2018" ht="12.75">
      <c r="B2018" s="207"/>
    </row>
    <row r="2019" ht="12.75">
      <c r="B2019" s="207"/>
    </row>
    <row r="2020" ht="12.75">
      <c r="B2020" s="207"/>
    </row>
    <row r="2021" ht="12.75">
      <c r="B2021" s="207"/>
    </row>
    <row r="2022" ht="12.75">
      <c r="B2022" s="207"/>
    </row>
    <row r="2023" ht="12.75">
      <c r="B2023" s="207"/>
    </row>
    <row r="2024" ht="12.75">
      <c r="B2024" s="207"/>
    </row>
    <row r="2025" ht="12.75">
      <c r="B2025" s="207"/>
    </row>
    <row r="2026" ht="12.75">
      <c r="B2026" s="207"/>
    </row>
    <row r="2027" ht="12.75">
      <c r="B2027" s="207"/>
    </row>
    <row r="2028" ht="12.75">
      <c r="B2028" s="207"/>
    </row>
    <row r="2029" ht="12.75">
      <c r="B2029" s="207"/>
    </row>
    <row r="2030" ht="12.75">
      <c r="B2030" s="207"/>
    </row>
    <row r="2031" ht="12.75">
      <c r="B2031" s="207"/>
    </row>
    <row r="2032" ht="12.75">
      <c r="B2032" s="207"/>
    </row>
    <row r="2033" ht="12.75">
      <c r="B2033" s="207"/>
    </row>
    <row r="2034" ht="12.75">
      <c r="B2034" s="207"/>
    </row>
    <row r="2035" ht="12.75">
      <c r="B2035" s="207"/>
    </row>
    <row r="2036" ht="12.75">
      <c r="B2036" s="207"/>
    </row>
    <row r="2037" ht="12.75">
      <c r="B2037" s="207"/>
    </row>
    <row r="2038" ht="12.75">
      <c r="B2038" s="207"/>
    </row>
    <row r="2039" ht="12.75">
      <c r="B2039" s="207"/>
    </row>
    <row r="2040" ht="12.75">
      <c r="B2040" s="207"/>
    </row>
    <row r="2041" ht="12.75">
      <c r="B2041" s="207"/>
    </row>
    <row r="2042" ht="12.75">
      <c r="B2042" s="207"/>
    </row>
    <row r="2043" ht="12.75">
      <c r="B2043" s="207"/>
    </row>
    <row r="2044" ht="12.75">
      <c r="B2044" s="207"/>
    </row>
    <row r="2045" ht="12.75">
      <c r="B2045" s="207"/>
    </row>
    <row r="2046" ht="12.75">
      <c r="B2046" s="207"/>
    </row>
    <row r="2047" ht="12.75">
      <c r="B2047" s="207"/>
    </row>
    <row r="2048" ht="12.75">
      <c r="B2048" s="207"/>
    </row>
    <row r="2049" ht="12.75">
      <c r="B2049" s="207"/>
    </row>
    <row r="2050" ht="12.75">
      <c r="B2050" s="207"/>
    </row>
    <row r="2051" ht="12.75">
      <c r="B2051" s="207"/>
    </row>
    <row r="2052" ht="12.75">
      <c r="B2052" s="207"/>
    </row>
    <row r="2053" ht="12.75">
      <c r="B2053" s="207"/>
    </row>
    <row r="2054" ht="12.75">
      <c r="B2054" s="207"/>
    </row>
    <row r="2055" ht="12.75">
      <c r="B2055" s="207"/>
    </row>
    <row r="2056" ht="12.75">
      <c r="B2056" s="207"/>
    </row>
    <row r="2057" ht="12.75">
      <c r="B2057" s="207"/>
    </row>
    <row r="2058" ht="12.75">
      <c r="B2058" s="207"/>
    </row>
    <row r="2059" ht="12.75">
      <c r="B2059" s="207"/>
    </row>
    <row r="2060" ht="12.75">
      <c r="B2060" s="207"/>
    </row>
    <row r="2061" ht="12.75">
      <c r="B2061" s="207"/>
    </row>
    <row r="2062" ht="12.75">
      <c r="B2062" s="207"/>
    </row>
    <row r="2063" ht="12.75">
      <c r="B2063" s="207"/>
    </row>
    <row r="2064" ht="12.75">
      <c r="B2064" s="207"/>
    </row>
    <row r="2065" ht="12.75">
      <c r="B2065" s="207"/>
    </row>
    <row r="2066" ht="12.75">
      <c r="B2066" s="207"/>
    </row>
    <row r="2067" ht="12.75">
      <c r="B2067" s="207"/>
    </row>
    <row r="2068" ht="12.75">
      <c r="B2068" s="207"/>
    </row>
    <row r="2069" ht="12.75">
      <c r="B2069" s="207"/>
    </row>
    <row r="2070" ht="12.75">
      <c r="B2070" s="207"/>
    </row>
    <row r="2071" ht="12.75">
      <c r="B2071" s="207"/>
    </row>
    <row r="2072" ht="12.75">
      <c r="B2072" s="207"/>
    </row>
    <row r="2073" ht="12.75">
      <c r="B2073" s="207"/>
    </row>
    <row r="2074" ht="12.75">
      <c r="B2074" s="207"/>
    </row>
    <row r="2075" ht="12.75">
      <c r="B2075" s="207"/>
    </row>
    <row r="2076" ht="12.75">
      <c r="B2076" s="207"/>
    </row>
    <row r="2077" ht="12.75">
      <c r="B2077" s="207"/>
    </row>
    <row r="2078" ht="12.75">
      <c r="B2078" s="207"/>
    </row>
    <row r="2079" ht="12.75">
      <c r="B2079" s="207"/>
    </row>
    <row r="2080" ht="12.75">
      <c r="B2080" s="207"/>
    </row>
    <row r="2081" ht="12.75">
      <c r="B2081" s="207"/>
    </row>
    <row r="2082" ht="12.75">
      <c r="B2082" s="207"/>
    </row>
    <row r="2083" ht="12.75">
      <c r="B2083" s="207"/>
    </row>
    <row r="2084" ht="12.75">
      <c r="B2084" s="207"/>
    </row>
    <row r="2085" ht="12.75">
      <c r="B2085" s="207"/>
    </row>
    <row r="2086" ht="12.75">
      <c r="B2086" s="207"/>
    </row>
    <row r="2087" ht="12.75">
      <c r="B2087" s="207"/>
    </row>
    <row r="2088" ht="12.75">
      <c r="B2088" s="207"/>
    </row>
    <row r="2089" ht="12.75">
      <c r="B2089" s="207"/>
    </row>
    <row r="2090" ht="12.75">
      <c r="B2090" s="207"/>
    </row>
    <row r="2091" ht="12.75">
      <c r="B2091" s="207"/>
    </row>
    <row r="2092" ht="12.75">
      <c r="B2092" s="207"/>
    </row>
    <row r="2093" ht="12.75">
      <c r="B2093" s="207"/>
    </row>
    <row r="2094" ht="12.75">
      <c r="B2094" s="207"/>
    </row>
    <row r="2095" ht="12.75">
      <c r="B2095" s="207"/>
    </row>
    <row r="2096" ht="12.75">
      <c r="B2096" s="207"/>
    </row>
    <row r="2097" ht="12.75">
      <c r="B2097" s="207"/>
    </row>
    <row r="2098" ht="12.75">
      <c r="B2098" s="207"/>
    </row>
    <row r="2099" ht="12.75">
      <c r="B2099" s="207"/>
    </row>
    <row r="2100" ht="12.75">
      <c r="B2100" s="207"/>
    </row>
    <row r="2101" ht="12.75">
      <c r="B2101" s="207"/>
    </row>
    <row r="2102" ht="12.75">
      <c r="B2102" s="207"/>
    </row>
    <row r="2103" ht="12.75">
      <c r="B2103" s="207"/>
    </row>
    <row r="2104" ht="12.75">
      <c r="B2104" s="207"/>
    </row>
    <row r="2105" ht="12.75">
      <c r="B2105" s="207"/>
    </row>
    <row r="2106" ht="12.75">
      <c r="B2106" s="207"/>
    </row>
    <row r="2107" ht="12.75">
      <c r="B2107" s="207"/>
    </row>
    <row r="2108" ht="12.75">
      <c r="B2108" s="207"/>
    </row>
    <row r="2109" ht="12.75">
      <c r="B2109" s="207"/>
    </row>
    <row r="2110" ht="12.75">
      <c r="B2110" s="207"/>
    </row>
    <row r="2111" ht="12.75">
      <c r="B2111" s="207"/>
    </row>
    <row r="2112" ht="12.75">
      <c r="B2112" s="207"/>
    </row>
    <row r="2113" ht="12.75">
      <c r="B2113" s="207"/>
    </row>
    <row r="2114" ht="12.75">
      <c r="B2114" s="207"/>
    </row>
    <row r="2115" ht="12.75">
      <c r="B2115" s="207"/>
    </row>
    <row r="2116" ht="12.75">
      <c r="B2116" s="207"/>
    </row>
    <row r="2117" ht="12.75">
      <c r="B2117" s="207"/>
    </row>
    <row r="2118" ht="12.75">
      <c r="B2118" s="207"/>
    </row>
    <row r="2119" ht="12.75">
      <c r="B2119" s="207"/>
    </row>
    <row r="2120" ht="12.75">
      <c r="B2120" s="207"/>
    </row>
    <row r="2121" ht="12.75">
      <c r="B2121" s="207"/>
    </row>
    <row r="2122" ht="12.75">
      <c r="B2122" s="207"/>
    </row>
    <row r="2123" ht="12.75">
      <c r="B2123" s="207"/>
    </row>
    <row r="2124" ht="12.75">
      <c r="B2124" s="207"/>
    </row>
    <row r="2125" ht="12.75">
      <c r="B2125" s="207"/>
    </row>
    <row r="2126" ht="12.75">
      <c r="B2126" s="207"/>
    </row>
    <row r="2127" ht="12.75">
      <c r="B2127" s="207"/>
    </row>
    <row r="2128" ht="12.75">
      <c r="B2128" s="207"/>
    </row>
    <row r="2129" ht="12.75">
      <c r="B2129" s="207"/>
    </row>
    <row r="2130" ht="12.75">
      <c r="B2130" s="207"/>
    </row>
    <row r="2131" ht="12.75">
      <c r="B2131" s="207"/>
    </row>
    <row r="2132" ht="12.75">
      <c r="B2132" s="207"/>
    </row>
    <row r="2133" ht="12.75">
      <c r="B2133" s="207"/>
    </row>
    <row r="2134" ht="12.75">
      <c r="B2134" s="207"/>
    </row>
    <row r="2135" ht="12.75">
      <c r="B2135" s="207"/>
    </row>
    <row r="2136" ht="12.75">
      <c r="B2136" s="207"/>
    </row>
    <row r="2137" ht="12.75">
      <c r="B2137" s="207"/>
    </row>
    <row r="2138" ht="12.75">
      <c r="B2138" s="207"/>
    </row>
    <row r="2139" ht="12.75">
      <c r="B2139" s="207"/>
    </row>
    <row r="2140" ht="12.75">
      <c r="B2140" s="207"/>
    </row>
    <row r="2141" ht="12.75">
      <c r="B2141" s="207"/>
    </row>
    <row r="2142" ht="12.75">
      <c r="B2142" s="207"/>
    </row>
    <row r="2143" ht="12.75">
      <c r="B2143" s="207"/>
    </row>
    <row r="2144" ht="12.75">
      <c r="B2144" s="207"/>
    </row>
    <row r="2145" ht="12.75">
      <c r="B2145" s="207"/>
    </row>
    <row r="2146" ht="12.75">
      <c r="B2146" s="207"/>
    </row>
    <row r="2147" ht="12.75">
      <c r="B2147" s="207"/>
    </row>
    <row r="2148" ht="12.75">
      <c r="B2148" s="207"/>
    </row>
    <row r="2149" ht="12.75">
      <c r="B2149" s="207"/>
    </row>
    <row r="2150" ht="12.75">
      <c r="B2150" s="207"/>
    </row>
    <row r="2151" ht="12.75">
      <c r="B2151" s="207"/>
    </row>
    <row r="2152" ht="12.75">
      <c r="B2152" s="207"/>
    </row>
    <row r="2153" ht="12.75">
      <c r="B2153" s="207"/>
    </row>
    <row r="2154" ht="12.75">
      <c r="B2154" s="207"/>
    </row>
    <row r="2155" ht="12.75">
      <c r="B2155" s="207"/>
    </row>
    <row r="2156" ht="12.75">
      <c r="B2156" s="207"/>
    </row>
    <row r="2157" ht="12.75">
      <c r="B2157" s="207"/>
    </row>
    <row r="2158" ht="12.75">
      <c r="B2158" s="207"/>
    </row>
    <row r="2159" ht="12.75">
      <c r="B2159" s="207"/>
    </row>
    <row r="2160" ht="12.75">
      <c r="B2160" s="207"/>
    </row>
    <row r="2161" ht="12.75">
      <c r="B2161" s="207"/>
    </row>
    <row r="2162" ht="12.75">
      <c r="B2162" s="207"/>
    </row>
    <row r="2163" ht="12.75">
      <c r="B2163" s="207"/>
    </row>
    <row r="2164" ht="12.75">
      <c r="B2164" s="207"/>
    </row>
    <row r="2165" ht="12.75">
      <c r="B2165" s="207"/>
    </row>
    <row r="2166" ht="12.75">
      <c r="B2166" s="207"/>
    </row>
    <row r="2167" ht="12.75">
      <c r="B2167" s="207"/>
    </row>
    <row r="2168" ht="12.75">
      <c r="B2168" s="207"/>
    </row>
    <row r="2169" ht="12.75">
      <c r="B2169" s="207"/>
    </row>
    <row r="2170" ht="12.75">
      <c r="B2170" s="207"/>
    </row>
    <row r="2171" ht="12.75">
      <c r="B2171" s="207"/>
    </row>
    <row r="2172" ht="12.75">
      <c r="B2172" s="207"/>
    </row>
    <row r="2173" ht="12.75">
      <c r="B2173" s="207"/>
    </row>
    <row r="2174" ht="12.75">
      <c r="B2174" s="207"/>
    </row>
    <row r="2175" ht="12.75">
      <c r="B2175" s="207"/>
    </row>
    <row r="2176" ht="12.75">
      <c r="B2176" s="207"/>
    </row>
    <row r="2177" ht="12.75">
      <c r="B2177" s="207"/>
    </row>
    <row r="2178" ht="12.75">
      <c r="B2178" s="207"/>
    </row>
    <row r="2179" ht="12.75">
      <c r="B2179" s="207"/>
    </row>
    <row r="2180" ht="12.75">
      <c r="B2180" s="207"/>
    </row>
    <row r="2181" ht="12.75">
      <c r="B2181" s="207"/>
    </row>
    <row r="2182" ht="12.75">
      <c r="B2182" s="207"/>
    </row>
    <row r="2183" ht="12.75">
      <c r="B2183" s="207"/>
    </row>
    <row r="2184" ht="12.75">
      <c r="B2184" s="207"/>
    </row>
    <row r="2185" ht="12.75">
      <c r="B2185" s="207"/>
    </row>
    <row r="2186" ht="12.75">
      <c r="B2186" s="207"/>
    </row>
    <row r="2187" ht="12.75">
      <c r="B2187" s="207"/>
    </row>
    <row r="2188" ht="12.75">
      <c r="B2188" s="207"/>
    </row>
    <row r="2189" ht="12.75">
      <c r="B2189" s="207"/>
    </row>
    <row r="2190" ht="12.75">
      <c r="B2190" s="207"/>
    </row>
    <row r="2191" ht="12.75">
      <c r="B2191" s="207"/>
    </row>
    <row r="2192" ht="12.75">
      <c r="B2192" s="207"/>
    </row>
    <row r="2193" ht="12.75">
      <c r="B2193" s="207"/>
    </row>
    <row r="2194" ht="12.75">
      <c r="B2194" s="207"/>
    </row>
    <row r="2195" ht="12.75">
      <c r="B2195" s="207"/>
    </row>
    <row r="2196" ht="12.75">
      <c r="B2196" s="207"/>
    </row>
    <row r="2197" ht="12.75">
      <c r="B2197" s="207"/>
    </row>
    <row r="2198" ht="12.75">
      <c r="B2198" s="207"/>
    </row>
    <row r="2199" ht="12.75">
      <c r="B2199" s="207"/>
    </row>
    <row r="2200" ht="12.75">
      <c r="B2200" s="207"/>
    </row>
    <row r="2201" ht="12.75">
      <c r="B2201" s="207"/>
    </row>
    <row r="2202" ht="12.75">
      <c r="B2202" s="207"/>
    </row>
    <row r="2203" ht="12.75">
      <c r="B2203" s="207"/>
    </row>
    <row r="2204" ht="12.75">
      <c r="B2204" s="207"/>
    </row>
    <row r="2205" ht="12.75">
      <c r="B2205" s="207"/>
    </row>
    <row r="2206" ht="12.75">
      <c r="B2206" s="207"/>
    </row>
    <row r="2207" ht="12.75">
      <c r="B2207" s="207"/>
    </row>
    <row r="2208" ht="12.75">
      <c r="B2208" s="207"/>
    </row>
    <row r="2209" ht="12.75">
      <c r="B2209" s="207"/>
    </row>
    <row r="2210" ht="12.75">
      <c r="B2210" s="207"/>
    </row>
    <row r="2211" ht="12.75">
      <c r="B2211" s="207"/>
    </row>
    <row r="2212" ht="12.75">
      <c r="B2212" s="207"/>
    </row>
    <row r="2213" ht="12.75">
      <c r="B2213" s="207"/>
    </row>
    <row r="2214" ht="12.75">
      <c r="B2214" s="207"/>
    </row>
    <row r="2215" ht="12.75">
      <c r="B2215" s="207"/>
    </row>
    <row r="2216" ht="12.75">
      <c r="B2216" s="207"/>
    </row>
    <row r="2217" ht="12.75">
      <c r="B2217" s="207"/>
    </row>
    <row r="2218" ht="12.75">
      <c r="B2218" s="207"/>
    </row>
    <row r="2219" ht="12.75">
      <c r="B2219" s="207"/>
    </row>
    <row r="2220" ht="12.75">
      <c r="B2220" s="207"/>
    </row>
    <row r="2221" ht="12.75">
      <c r="B2221" s="207"/>
    </row>
    <row r="2222" ht="12.75">
      <c r="B2222" s="207"/>
    </row>
    <row r="2223" ht="12.75">
      <c r="B2223" s="207"/>
    </row>
    <row r="2224" ht="12.75">
      <c r="B2224" s="207"/>
    </row>
    <row r="2225" ht="12.75">
      <c r="B2225" s="207"/>
    </row>
    <row r="2226" ht="12.75">
      <c r="B2226" s="207"/>
    </row>
    <row r="2227" ht="12.75">
      <c r="B2227" s="207"/>
    </row>
    <row r="2228" ht="12.75">
      <c r="B2228" s="207"/>
    </row>
    <row r="2229" ht="12.75">
      <c r="B2229" s="207"/>
    </row>
    <row r="2230" ht="12.75">
      <c r="B2230" s="207"/>
    </row>
    <row r="2231" ht="12.75">
      <c r="B2231" s="207"/>
    </row>
    <row r="2232" ht="12.75">
      <c r="B2232" s="207"/>
    </row>
    <row r="2233" ht="12.75">
      <c r="B2233" s="207"/>
    </row>
    <row r="2234" ht="12.75">
      <c r="B2234" s="207"/>
    </row>
    <row r="2235" ht="12.75">
      <c r="B2235" s="207"/>
    </row>
    <row r="2236" ht="12.75">
      <c r="B2236" s="207"/>
    </row>
    <row r="2237" ht="12.75">
      <c r="B2237" s="207"/>
    </row>
    <row r="2238" ht="12.75">
      <c r="B2238" s="207"/>
    </row>
    <row r="2239" ht="12.75">
      <c r="B2239" s="207"/>
    </row>
    <row r="2240" ht="12.75">
      <c r="B2240" s="207"/>
    </row>
    <row r="2241" ht="12.75">
      <c r="B2241" s="207"/>
    </row>
    <row r="2242" ht="12.75">
      <c r="B2242" s="207"/>
    </row>
    <row r="2243" ht="12.75">
      <c r="B2243" s="207"/>
    </row>
    <row r="2244" ht="12.75">
      <c r="B2244" s="207"/>
    </row>
    <row r="2245" ht="12.75">
      <c r="B2245" s="207"/>
    </row>
    <row r="2246" ht="12.75">
      <c r="B2246" s="207"/>
    </row>
    <row r="2247" ht="12.75">
      <c r="B2247" s="207"/>
    </row>
    <row r="2248" ht="12.75">
      <c r="B2248" s="207"/>
    </row>
    <row r="2249" ht="12.75">
      <c r="B2249" s="207"/>
    </row>
    <row r="2250" ht="12.75">
      <c r="B2250" s="207"/>
    </row>
    <row r="2251" ht="12.75">
      <c r="B2251" s="207"/>
    </row>
    <row r="2252" ht="12.75">
      <c r="B2252" s="207"/>
    </row>
    <row r="2253" ht="12.75">
      <c r="B2253" s="207"/>
    </row>
    <row r="2254" ht="12.75">
      <c r="B2254" s="207"/>
    </row>
    <row r="2255" ht="12.75">
      <c r="B2255" s="207"/>
    </row>
    <row r="2256" ht="12.75">
      <c r="B2256" s="207"/>
    </row>
    <row r="2257" ht="12.75">
      <c r="B2257" s="207"/>
    </row>
    <row r="2258" ht="12.75">
      <c r="B2258" s="207"/>
    </row>
    <row r="2259" ht="12.75">
      <c r="B2259" s="207"/>
    </row>
    <row r="2260" ht="12.75">
      <c r="B2260" s="207"/>
    </row>
    <row r="2261" ht="12.75">
      <c r="B2261" s="207"/>
    </row>
    <row r="2262" ht="12.75">
      <c r="B2262" s="207"/>
    </row>
    <row r="2263" ht="12.75">
      <c r="B2263" s="207"/>
    </row>
    <row r="2264" ht="12.75">
      <c r="B2264" s="207"/>
    </row>
    <row r="2265" ht="12.75">
      <c r="B2265" s="207"/>
    </row>
    <row r="2266" ht="12.75">
      <c r="B2266" s="207"/>
    </row>
    <row r="2267" ht="12.75">
      <c r="B2267" s="207"/>
    </row>
    <row r="2268" ht="12.75">
      <c r="B2268" s="207"/>
    </row>
    <row r="2269" ht="12.75">
      <c r="B2269" s="207"/>
    </row>
    <row r="2270" ht="12.75">
      <c r="B2270" s="207"/>
    </row>
    <row r="2271" ht="12.75">
      <c r="B2271" s="207"/>
    </row>
    <row r="2272" ht="12.75">
      <c r="B2272" s="207"/>
    </row>
    <row r="2273" ht="12.75">
      <c r="B2273" s="207"/>
    </row>
    <row r="2274" ht="12.75">
      <c r="B2274" s="207"/>
    </row>
    <row r="2275" ht="12.75">
      <c r="B2275" s="207"/>
    </row>
    <row r="2276" ht="12.75">
      <c r="B2276" s="207"/>
    </row>
    <row r="2277" ht="12.75">
      <c r="B2277" s="207"/>
    </row>
    <row r="2278" ht="12.75">
      <c r="B2278" s="207"/>
    </row>
    <row r="2279" ht="12.75">
      <c r="B2279" s="207"/>
    </row>
    <row r="2280" ht="12.75">
      <c r="B2280" s="207"/>
    </row>
    <row r="2281" ht="12.75">
      <c r="B2281" s="207"/>
    </row>
    <row r="2282" ht="12.75">
      <c r="B2282" s="207"/>
    </row>
    <row r="2283" ht="12.75">
      <c r="B2283" s="207"/>
    </row>
    <row r="2284" ht="12.75">
      <c r="B2284" s="207"/>
    </row>
    <row r="2285" ht="12.75">
      <c r="B2285" s="207"/>
    </row>
    <row r="2286" ht="12.75">
      <c r="B2286" s="207"/>
    </row>
    <row r="2287" ht="12.75">
      <c r="B2287" s="207"/>
    </row>
    <row r="2288" ht="12.75">
      <c r="B2288" s="207"/>
    </row>
    <row r="2289" ht="12.75">
      <c r="B2289" s="207"/>
    </row>
    <row r="2290" ht="12.75">
      <c r="B2290" s="207"/>
    </row>
    <row r="2291" ht="12.75">
      <c r="B2291" s="207"/>
    </row>
    <row r="2292" ht="12.75">
      <c r="B2292" s="207"/>
    </row>
    <row r="2293" ht="12.75">
      <c r="B2293" s="207"/>
    </row>
    <row r="2294" ht="12.75">
      <c r="B2294" s="207"/>
    </row>
    <row r="2295" ht="12.75">
      <c r="B2295" s="207"/>
    </row>
    <row r="2296" ht="12.75">
      <c r="B2296" s="207"/>
    </row>
    <row r="2297" ht="12.75">
      <c r="B2297" s="207"/>
    </row>
    <row r="2298" ht="12.75">
      <c r="B2298" s="207"/>
    </row>
    <row r="2299" ht="12.75">
      <c r="B2299" s="207"/>
    </row>
    <row r="2300" ht="12.75">
      <c r="B2300" s="207"/>
    </row>
    <row r="2301" ht="12.75">
      <c r="B2301" s="207"/>
    </row>
    <row r="2302" ht="12.75">
      <c r="B2302" s="207"/>
    </row>
    <row r="2303" ht="12.75">
      <c r="B2303" s="207"/>
    </row>
    <row r="2304" ht="12.75">
      <c r="B2304" s="207"/>
    </row>
    <row r="2305" ht="12.75">
      <c r="B2305" s="207"/>
    </row>
    <row r="2306" ht="12.75">
      <c r="B2306" s="207"/>
    </row>
    <row r="2307" ht="12.75">
      <c r="B2307" s="207"/>
    </row>
    <row r="2308" ht="12.75">
      <c r="B2308" s="207"/>
    </row>
    <row r="2309" ht="12.75">
      <c r="B2309" s="207"/>
    </row>
    <row r="2310" ht="12.75">
      <c r="B2310" s="207"/>
    </row>
    <row r="2311" ht="12.75">
      <c r="B2311" s="207"/>
    </row>
    <row r="2312" ht="12.75">
      <c r="B2312" s="207"/>
    </row>
    <row r="2313" ht="12.75">
      <c r="B2313" s="207"/>
    </row>
    <row r="2314" ht="12.75">
      <c r="B2314" s="207"/>
    </row>
    <row r="2315" ht="12.75">
      <c r="B2315" s="207"/>
    </row>
    <row r="2316" ht="12.75">
      <c r="B2316" s="207"/>
    </row>
    <row r="2317" ht="12.75">
      <c r="B2317" s="207"/>
    </row>
    <row r="2318" ht="12.75">
      <c r="B2318" s="207"/>
    </row>
    <row r="2319" ht="12.75">
      <c r="B2319" s="207"/>
    </row>
    <row r="2320" ht="12.75">
      <c r="B2320" s="207"/>
    </row>
    <row r="2321" ht="12.75">
      <c r="B2321" s="207"/>
    </row>
    <row r="2322" ht="12.75">
      <c r="B2322" s="207"/>
    </row>
    <row r="2323" ht="12.75">
      <c r="B2323" s="207"/>
    </row>
    <row r="2324" ht="12.75">
      <c r="B2324" s="207"/>
    </row>
    <row r="2325" ht="12.75">
      <c r="B2325" s="207"/>
    </row>
    <row r="2326" ht="12.75">
      <c r="B2326" s="207"/>
    </row>
    <row r="2327" ht="12.75">
      <c r="B2327" s="207"/>
    </row>
    <row r="2328" ht="12.75">
      <c r="B2328" s="207"/>
    </row>
    <row r="2329" ht="12.75">
      <c r="B2329" s="207"/>
    </row>
    <row r="2330" ht="12.75">
      <c r="B2330" s="207"/>
    </row>
    <row r="2331" ht="12.75">
      <c r="B2331" s="207"/>
    </row>
    <row r="2332" ht="12.75">
      <c r="B2332" s="207"/>
    </row>
    <row r="2333" ht="12.75">
      <c r="B2333" s="207"/>
    </row>
    <row r="2334" ht="12.75">
      <c r="B2334" s="207"/>
    </row>
    <row r="2335" ht="12.75">
      <c r="B2335" s="207"/>
    </row>
    <row r="2336" ht="12.75">
      <c r="B2336" s="207"/>
    </row>
    <row r="2337" ht="12.75">
      <c r="B2337" s="207"/>
    </row>
    <row r="2338" ht="12.75">
      <c r="B2338" s="207"/>
    </row>
    <row r="2339" ht="12.75">
      <c r="B2339" s="207"/>
    </row>
    <row r="2340" ht="12.75">
      <c r="B2340" s="207"/>
    </row>
    <row r="2341" ht="12.75">
      <c r="B2341" s="207"/>
    </row>
    <row r="2342" ht="12.75">
      <c r="B2342" s="207"/>
    </row>
    <row r="2343" ht="12.75">
      <c r="B2343" s="207"/>
    </row>
    <row r="2344" ht="12.75">
      <c r="B2344" s="207"/>
    </row>
    <row r="2345" ht="12.75">
      <c r="B2345" s="207"/>
    </row>
    <row r="2346" ht="12.75">
      <c r="B2346" s="207"/>
    </row>
    <row r="2347" ht="12.75">
      <c r="B2347" s="207"/>
    </row>
    <row r="2348" ht="12.75">
      <c r="B2348" s="207"/>
    </row>
    <row r="2349" ht="12.75">
      <c r="B2349" s="207"/>
    </row>
    <row r="2350" ht="12.75">
      <c r="B2350" s="207"/>
    </row>
    <row r="2351" ht="12.75">
      <c r="B2351" s="207"/>
    </row>
    <row r="2352" ht="12.75">
      <c r="B2352" s="207"/>
    </row>
    <row r="2353" ht="12.75">
      <c r="B2353" s="207"/>
    </row>
    <row r="2354" ht="12.75">
      <c r="B2354" s="207"/>
    </row>
    <row r="2355" ht="12.75">
      <c r="B2355" s="207"/>
    </row>
    <row r="2356" ht="12.75">
      <c r="B2356" s="207"/>
    </row>
    <row r="2357" ht="12.75">
      <c r="B2357" s="207"/>
    </row>
    <row r="2358" ht="12.75">
      <c r="B2358" s="207"/>
    </row>
    <row r="2359" ht="12.75">
      <c r="B2359" s="207"/>
    </row>
    <row r="2360" ht="12.75">
      <c r="B2360" s="207"/>
    </row>
    <row r="2361" ht="12.75">
      <c r="B2361" s="207"/>
    </row>
    <row r="2362" ht="12.75">
      <c r="B2362" s="207"/>
    </row>
    <row r="2363" ht="12.75">
      <c r="B2363" s="207"/>
    </row>
    <row r="2364" ht="12.75">
      <c r="B2364" s="207"/>
    </row>
    <row r="2365" ht="12.75">
      <c r="B2365" s="207"/>
    </row>
    <row r="2366" ht="12.75">
      <c r="B2366" s="207"/>
    </row>
    <row r="2367" ht="12.75">
      <c r="B2367" s="207"/>
    </row>
    <row r="2368" ht="12.75">
      <c r="B2368" s="207"/>
    </row>
    <row r="2369" ht="12.75">
      <c r="B2369" s="207"/>
    </row>
    <row r="2370" ht="12.75">
      <c r="B2370" s="207"/>
    </row>
    <row r="2371" ht="12.75">
      <c r="B2371" s="207"/>
    </row>
    <row r="2372" ht="12.75">
      <c r="B2372" s="207"/>
    </row>
    <row r="2373" ht="12.75">
      <c r="B2373" s="207"/>
    </row>
    <row r="2374" ht="12.75">
      <c r="B2374" s="207"/>
    </row>
    <row r="2375" ht="12.75">
      <c r="B2375" s="207"/>
    </row>
    <row r="2376" ht="12.75">
      <c r="B2376" s="207"/>
    </row>
    <row r="2377" ht="12.75">
      <c r="B2377" s="207"/>
    </row>
    <row r="2378" ht="12.75">
      <c r="B2378" s="207"/>
    </row>
    <row r="2379" ht="12.75">
      <c r="B2379" s="207"/>
    </row>
    <row r="2380" ht="12.75">
      <c r="B2380" s="207"/>
    </row>
    <row r="2381" ht="12.75">
      <c r="B2381" s="207"/>
    </row>
    <row r="2382" ht="12.75">
      <c r="B2382" s="207"/>
    </row>
    <row r="2383" ht="12.75">
      <c r="B2383" s="207"/>
    </row>
    <row r="2384" ht="12.75">
      <c r="B2384" s="207"/>
    </row>
    <row r="2385" ht="12.75">
      <c r="B2385" s="207"/>
    </row>
    <row r="2386" ht="12.75">
      <c r="B2386" s="207"/>
    </row>
    <row r="2387" ht="12.75">
      <c r="B2387" s="207"/>
    </row>
    <row r="2388" ht="12.75">
      <c r="B2388" s="207"/>
    </row>
    <row r="2389" ht="12.75">
      <c r="B2389" s="207"/>
    </row>
    <row r="2390" ht="12.75">
      <c r="B2390" s="207"/>
    </row>
    <row r="2391" ht="12.75">
      <c r="B2391" s="207"/>
    </row>
    <row r="2392" ht="12.75">
      <c r="B2392" s="207"/>
    </row>
    <row r="2393" ht="12.75">
      <c r="B2393" s="207"/>
    </row>
    <row r="2394" ht="12.75">
      <c r="B2394" s="207"/>
    </row>
    <row r="2395" ht="12.75">
      <c r="B2395" s="207"/>
    </row>
    <row r="2396" ht="12.75">
      <c r="B2396" s="207"/>
    </row>
    <row r="2397" ht="12.75">
      <c r="B2397" s="207"/>
    </row>
    <row r="2398" ht="12.75">
      <c r="B2398" s="207"/>
    </row>
    <row r="2399" ht="12.75">
      <c r="B2399" s="207"/>
    </row>
    <row r="2400" ht="12.75">
      <c r="B2400" s="207"/>
    </row>
    <row r="2401" ht="12.75">
      <c r="B2401" s="207"/>
    </row>
    <row r="2402" ht="12.75">
      <c r="B2402" s="207"/>
    </row>
    <row r="2403" ht="12.75">
      <c r="B2403" s="207"/>
    </row>
    <row r="2404" ht="12.75">
      <c r="B2404" s="207"/>
    </row>
    <row r="2405" ht="12.75">
      <c r="B2405" s="207"/>
    </row>
    <row r="2406" ht="12.75">
      <c r="B2406" s="207"/>
    </row>
    <row r="2407" ht="12.75">
      <c r="B2407" s="207"/>
    </row>
    <row r="2408" ht="12.75">
      <c r="B2408" s="207"/>
    </row>
    <row r="2409" ht="12.75">
      <c r="B2409" s="207"/>
    </row>
    <row r="2410" ht="12.75">
      <c r="B2410" s="207"/>
    </row>
    <row r="2411" ht="12.75">
      <c r="B2411" s="207"/>
    </row>
    <row r="2412" ht="12.75">
      <c r="B2412" s="207"/>
    </row>
    <row r="2413" ht="12.75">
      <c r="B2413" s="207"/>
    </row>
    <row r="2414" ht="12.75">
      <c r="B2414" s="207"/>
    </row>
    <row r="2415" ht="12.75">
      <c r="B2415" s="207"/>
    </row>
    <row r="2416" ht="12.75">
      <c r="B2416" s="207"/>
    </row>
    <row r="2417" ht="12.75">
      <c r="B2417" s="207"/>
    </row>
    <row r="2418" ht="12.75">
      <c r="B2418" s="207"/>
    </row>
    <row r="2419" ht="12.75">
      <c r="B2419" s="207"/>
    </row>
    <row r="2420" ht="12.75">
      <c r="B2420" s="207"/>
    </row>
    <row r="2421" ht="12.75">
      <c r="B2421" s="207"/>
    </row>
    <row r="2422" ht="12.75">
      <c r="B2422" s="207"/>
    </row>
    <row r="2423" ht="12.75">
      <c r="B2423" s="207"/>
    </row>
    <row r="2424" ht="12.75">
      <c r="B2424" s="207"/>
    </row>
    <row r="2425" ht="12.75">
      <c r="B2425" s="207"/>
    </row>
    <row r="2426" ht="12.75">
      <c r="B2426" s="207"/>
    </row>
    <row r="2427" ht="12.75">
      <c r="B2427" s="207"/>
    </row>
    <row r="2428" ht="12.75">
      <c r="B2428" s="207"/>
    </row>
    <row r="2429" ht="12.75">
      <c r="B2429" s="207"/>
    </row>
    <row r="2430" ht="12.75">
      <c r="B2430" s="207"/>
    </row>
    <row r="2431" ht="12.75">
      <c r="B2431" s="207"/>
    </row>
    <row r="2432" ht="12.75">
      <c r="B2432" s="207"/>
    </row>
    <row r="2433" ht="12.75">
      <c r="B2433" s="207"/>
    </row>
    <row r="2434" ht="12.75">
      <c r="B2434" s="207"/>
    </row>
    <row r="2435" ht="12.75">
      <c r="B2435" s="207"/>
    </row>
    <row r="2436" ht="12.75">
      <c r="B2436" s="207"/>
    </row>
    <row r="2437" ht="12.75">
      <c r="B2437" s="207"/>
    </row>
    <row r="2438" ht="12.75">
      <c r="B2438" s="207"/>
    </row>
    <row r="2439" ht="12.75">
      <c r="B2439" s="207"/>
    </row>
    <row r="2440" ht="12.75">
      <c r="B2440" s="207"/>
    </row>
    <row r="2441" ht="12.75">
      <c r="B2441" s="207"/>
    </row>
    <row r="2442" ht="12.75">
      <c r="B2442" s="207"/>
    </row>
    <row r="2443" ht="12.75">
      <c r="B2443" s="207"/>
    </row>
    <row r="2444" ht="12.75">
      <c r="B2444" s="207"/>
    </row>
    <row r="2445" ht="12.75">
      <c r="B2445" s="207"/>
    </row>
    <row r="2446" ht="12.75">
      <c r="B2446" s="207"/>
    </row>
    <row r="2447" ht="12.75">
      <c r="B2447" s="207"/>
    </row>
    <row r="2448" ht="12.75">
      <c r="B2448" s="207"/>
    </row>
    <row r="2449" ht="12.75">
      <c r="B2449" s="207"/>
    </row>
    <row r="2450" ht="12.75">
      <c r="B2450" s="207"/>
    </row>
    <row r="2451" ht="12.75">
      <c r="B2451" s="207"/>
    </row>
    <row r="2452" ht="12.75">
      <c r="B2452" s="207"/>
    </row>
    <row r="2453" ht="12.75">
      <c r="B2453" s="207"/>
    </row>
    <row r="2454" ht="12.75">
      <c r="B2454" s="207"/>
    </row>
    <row r="2455" ht="12.75">
      <c r="B2455" s="207"/>
    </row>
    <row r="2456" ht="12.75">
      <c r="B2456" s="207"/>
    </row>
    <row r="2457" ht="12.75">
      <c r="B2457" s="207"/>
    </row>
    <row r="2458" ht="12.75">
      <c r="B2458" s="207"/>
    </row>
    <row r="2459" ht="12.75">
      <c r="B2459" s="207"/>
    </row>
    <row r="2460" ht="12.75">
      <c r="B2460" s="207"/>
    </row>
    <row r="2461" ht="12.75">
      <c r="B2461" s="207"/>
    </row>
    <row r="2462" ht="12.75">
      <c r="B2462" s="207"/>
    </row>
    <row r="2463" ht="12.75">
      <c r="B2463" s="207"/>
    </row>
    <row r="2464" ht="12.75">
      <c r="B2464" s="207"/>
    </row>
    <row r="2465" ht="12.75">
      <c r="B2465" s="207"/>
    </row>
    <row r="2466" ht="12.75">
      <c r="B2466" s="207"/>
    </row>
    <row r="2467" ht="12.75">
      <c r="B2467" s="207"/>
    </row>
    <row r="2468" ht="12.75">
      <c r="B2468" s="207"/>
    </row>
    <row r="2469" ht="12.75">
      <c r="B2469" s="207"/>
    </row>
    <row r="2470" ht="12.75">
      <c r="B2470" s="207"/>
    </row>
    <row r="2471" ht="12.75">
      <c r="B2471" s="207"/>
    </row>
    <row r="2472" ht="12.75">
      <c r="B2472" s="207"/>
    </row>
    <row r="2473" ht="12.75">
      <c r="B2473" s="207"/>
    </row>
    <row r="2474" ht="12.75">
      <c r="B2474" s="207"/>
    </row>
    <row r="2475" ht="12.75">
      <c r="B2475" s="207"/>
    </row>
    <row r="2476" ht="12.75">
      <c r="B2476" s="207"/>
    </row>
    <row r="2477" ht="12.75">
      <c r="B2477" s="207"/>
    </row>
    <row r="2478" ht="12.75">
      <c r="B2478" s="207"/>
    </row>
    <row r="2479" ht="12.75">
      <c r="B2479" s="207"/>
    </row>
    <row r="2480" ht="12.75">
      <c r="B2480" s="207"/>
    </row>
    <row r="2481" ht="12.75">
      <c r="B2481" s="207"/>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H22"/>
  <sheetViews>
    <sheetView showGridLines="0" showRowColHeaders="0" zoomScale="75" zoomScaleNormal="75" workbookViewId="0" topLeftCell="A1">
      <selection activeCell="H19" sqref="H19"/>
    </sheetView>
  </sheetViews>
  <sheetFormatPr defaultColWidth="9.140625" defaultRowHeight="12.75"/>
  <cols>
    <col min="1" max="1" width="9.140625" style="210" customWidth="1"/>
    <col min="2" max="2" width="78.8515625" style="210" customWidth="1"/>
    <col min="3" max="3" width="16.57421875" style="210" customWidth="1"/>
    <col min="4" max="4" width="4.00390625" style="210" customWidth="1"/>
    <col min="5" max="5" width="16.7109375" style="210" customWidth="1"/>
    <col min="6" max="16384" width="9.140625" style="210" customWidth="1"/>
  </cols>
  <sheetData>
    <row r="1" ht="26.25">
      <c r="A1" s="211" t="s">
        <v>279</v>
      </c>
    </row>
    <row r="2" ht="15.75"/>
    <row r="3" spans="2:5" ht="15.75">
      <c r="B3" s="210" t="s">
        <v>280</v>
      </c>
      <c r="C3" s="236">
        <v>1</v>
      </c>
      <c r="E3" s="230" t="s">
        <v>219</v>
      </c>
    </row>
    <row r="4" ht="6" customHeight="1">
      <c r="E4" s="230" t="s">
        <v>220</v>
      </c>
    </row>
    <row r="5" spans="2:3" ht="15.75">
      <c r="B5" s="210" t="s">
        <v>2</v>
      </c>
      <c r="C5" s="3">
        <v>0</v>
      </c>
    </row>
    <row r="6" ht="6" customHeight="1"/>
    <row r="7" spans="2:5" ht="15.75">
      <c r="B7" s="210" t="s">
        <v>282</v>
      </c>
      <c r="C7" s="342">
        <v>0</v>
      </c>
      <c r="E7" s="210" t="s">
        <v>283</v>
      </c>
    </row>
    <row r="8" ht="6" customHeight="1"/>
    <row r="9" spans="2:5" ht="15.75">
      <c r="B9" s="210" t="s">
        <v>288</v>
      </c>
      <c r="C9" s="342">
        <v>0</v>
      </c>
      <c r="E9" s="210" t="s">
        <v>12</v>
      </c>
    </row>
    <row r="10" ht="6" customHeight="1"/>
    <row r="11" spans="2:5" ht="15.75">
      <c r="B11" s="210" t="s">
        <v>7</v>
      </c>
      <c r="C11" s="3">
        <v>0</v>
      </c>
      <c r="E11" s="210" t="s">
        <v>8</v>
      </c>
    </row>
    <row r="12" ht="6" customHeight="1"/>
    <row r="13" spans="2:3" ht="15.75">
      <c r="B13" s="210" t="s">
        <v>292</v>
      </c>
      <c r="C13" s="7">
        <v>0</v>
      </c>
    </row>
    <row r="14" ht="6" customHeight="1"/>
    <row r="15" spans="2:5" ht="15.75">
      <c r="B15" s="210" t="s">
        <v>22</v>
      </c>
      <c r="C15" s="342">
        <v>0</v>
      </c>
      <c r="E15" s="210" t="s">
        <v>6</v>
      </c>
    </row>
    <row r="16" ht="6" customHeight="1"/>
    <row r="17" spans="2:8" ht="15.75">
      <c r="B17" s="210" t="s">
        <v>218</v>
      </c>
      <c r="C17" s="236"/>
      <c r="H17" s="230" t="s">
        <v>219</v>
      </c>
    </row>
    <row r="18" ht="15.75">
      <c r="H18" s="230" t="s">
        <v>220</v>
      </c>
    </row>
    <row r="19" spans="2:5" ht="15.75">
      <c r="B19" s="210" t="s">
        <v>293</v>
      </c>
      <c r="C19" s="221" t="s">
        <v>294</v>
      </c>
      <c r="D19" s="221"/>
      <c r="E19" s="221" t="s">
        <v>295</v>
      </c>
    </row>
    <row r="20" spans="2:5" ht="15.75">
      <c r="B20" s="367" t="s">
        <v>296</v>
      </c>
      <c r="C20" s="345">
        <v>0</v>
      </c>
      <c r="E20" s="345">
        <v>0</v>
      </c>
    </row>
    <row r="21" spans="2:5" ht="15.75">
      <c r="B21" s="367" t="s">
        <v>297</v>
      </c>
      <c r="C21" s="345">
        <v>0</v>
      </c>
      <c r="E21" s="345">
        <v>0</v>
      </c>
    </row>
    <row r="22" spans="2:5" ht="15.75">
      <c r="B22" s="367" t="s">
        <v>298</v>
      </c>
      <c r="C22" s="345">
        <v>0</v>
      </c>
      <c r="E22" s="345">
        <v>0</v>
      </c>
    </row>
  </sheetData>
  <sheetProtection password="8D83" sheet="1" objects="1" scenarios="1"/>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2"/>
  <dimension ref="A1:F30"/>
  <sheetViews>
    <sheetView showGridLines="0" showRowColHeaders="0" zoomScale="75" zoomScaleNormal="75" zoomScalePageLayoutView="0" workbookViewId="0" topLeftCell="A1">
      <selection activeCell="D29" sqref="D29"/>
    </sheetView>
  </sheetViews>
  <sheetFormatPr defaultColWidth="9.140625" defaultRowHeight="12.75"/>
  <cols>
    <col min="1" max="1" width="9.140625" style="210" customWidth="1"/>
    <col min="2" max="2" width="50.28125" style="210" bestFit="1" customWidth="1"/>
    <col min="3" max="3" width="13.00390625" style="210" customWidth="1"/>
    <col min="4" max="4" width="14.7109375" style="210" customWidth="1"/>
    <col min="5" max="5" width="2.140625" style="210" customWidth="1"/>
    <col min="6" max="16384" width="9.140625" style="210" customWidth="1"/>
  </cols>
  <sheetData>
    <row r="1" ht="26.25">
      <c r="A1" s="211" t="s">
        <v>209</v>
      </c>
    </row>
    <row r="4" ht="18.75">
      <c r="A4" s="212" t="s">
        <v>210</v>
      </c>
    </row>
    <row r="5" ht="6" customHeight="1"/>
    <row r="6" spans="2:4" ht="15.75">
      <c r="B6" s="210" t="s">
        <v>289</v>
      </c>
      <c r="D6" s="216">
        <f>'Key Parameters'!C5</f>
        <v>0</v>
      </c>
    </row>
    <row r="7" ht="6" customHeight="1"/>
    <row r="8" spans="2:6" ht="15.75">
      <c r="B8" s="210" t="s">
        <v>284</v>
      </c>
      <c r="D8" s="361">
        <f>SQRT(D10*10000)</f>
        <v>0</v>
      </c>
      <c r="F8" s="210" t="s">
        <v>3</v>
      </c>
    </row>
    <row r="9" ht="6" customHeight="1">
      <c r="D9" s="213"/>
    </row>
    <row r="10" spans="2:6" ht="15.75">
      <c r="B10" s="210" t="s">
        <v>1</v>
      </c>
      <c r="D10" s="214">
        <f>'Key Parameters'!C7</f>
        <v>0</v>
      </c>
      <c r="F10" s="210" t="s">
        <v>4</v>
      </c>
    </row>
    <row r="11" ht="6" customHeight="1">
      <c r="D11" s="213"/>
    </row>
    <row r="12" spans="2:4" ht="15.75">
      <c r="B12" s="210" t="s">
        <v>24</v>
      </c>
      <c r="D12" s="5">
        <v>0</v>
      </c>
    </row>
    <row r="13" ht="6" customHeight="1">
      <c r="D13" s="213"/>
    </row>
    <row r="14" spans="2:6" ht="15.75">
      <c r="B14" s="210" t="s">
        <v>24</v>
      </c>
      <c r="D14" s="214">
        <f>D10*D12</f>
        <v>0</v>
      </c>
      <c r="F14" s="210" t="s">
        <v>4</v>
      </c>
    </row>
    <row r="15" ht="6" customHeight="1">
      <c r="D15" s="213"/>
    </row>
    <row r="16" spans="1:6" ht="15.75" customHeight="1">
      <c r="A16" s="212"/>
      <c r="B16" s="210" t="s">
        <v>263</v>
      </c>
      <c r="D16" s="215">
        <f>D14*10000*D6</f>
        <v>0</v>
      </c>
      <c r="F16" s="210" t="s">
        <v>23</v>
      </c>
    </row>
    <row r="18" ht="18.75">
      <c r="A18" s="212" t="s">
        <v>260</v>
      </c>
    </row>
    <row r="19" ht="6" customHeight="1"/>
    <row r="20" spans="2:4" ht="15.75">
      <c r="B20" s="210" t="s">
        <v>261</v>
      </c>
      <c r="D20" s="216">
        <f>IF('Key Parameters'!C3=1,1,0)</f>
        <v>1</v>
      </c>
    </row>
    <row r="21" ht="6" customHeight="1"/>
    <row r="22" spans="2:4" ht="15.75">
      <c r="B22" s="210" t="s">
        <v>262</v>
      </c>
      <c r="D22" s="215">
        <f>D6-D20</f>
        <v>-1</v>
      </c>
    </row>
    <row r="23" ht="15.75" customHeight="1"/>
    <row r="24" ht="18.75">
      <c r="A24" s="212" t="s">
        <v>264</v>
      </c>
    </row>
    <row r="25" ht="6" customHeight="1"/>
    <row r="26" spans="2:6" ht="15.75">
      <c r="B26" s="210" t="s">
        <v>22</v>
      </c>
      <c r="D26" s="218">
        <f>'Key Parameters'!C15</f>
        <v>0</v>
      </c>
      <c r="F26" s="210" t="s">
        <v>6</v>
      </c>
    </row>
    <row r="27" ht="6" customHeight="1"/>
    <row r="28" spans="2:4" ht="15.75">
      <c r="B28" s="210" t="s">
        <v>16</v>
      </c>
      <c r="D28" s="215">
        <f>IF(D6=0,0,D26*('Pond Description'!D16/'Pond Description'!D6))</f>
        <v>0</v>
      </c>
    </row>
    <row r="29" ht="6" customHeight="1">
      <c r="D29" s="219"/>
    </row>
    <row r="30" spans="2:6" ht="15.75">
      <c r="B30" s="210" t="s">
        <v>165</v>
      </c>
      <c r="D30" s="215">
        <f>D28*'Pond Description'!D22</f>
        <v>0</v>
      </c>
      <c r="F30" s="210" t="s">
        <v>269</v>
      </c>
    </row>
  </sheetData>
  <sheetProtection password="8D83" sheet="1" objects="1" scenarios="1"/>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3:BD25"/>
  <sheetViews>
    <sheetView showGridLines="0" zoomScale="75" zoomScaleNormal="75" zoomScalePageLayoutView="0" workbookViewId="0" topLeftCell="A1">
      <selection activeCell="G5" sqref="G5"/>
    </sheetView>
  </sheetViews>
  <sheetFormatPr defaultColWidth="9.140625" defaultRowHeight="12.75"/>
  <cols>
    <col min="2" max="2" width="6.140625" style="0" bestFit="1" customWidth="1"/>
    <col min="3" max="3" width="14.00390625" style="0" bestFit="1" customWidth="1"/>
    <col min="4" max="4" width="15.57421875" style="0" bestFit="1" customWidth="1"/>
    <col min="5" max="5" width="17.28125" style="0" bestFit="1" customWidth="1"/>
    <col min="6" max="31" width="9.57421875" style="0" bestFit="1" customWidth="1"/>
    <col min="32" max="55" width="7.00390625" style="0" bestFit="1" customWidth="1"/>
    <col min="56" max="56" width="9.57421875" style="0" bestFit="1" customWidth="1"/>
  </cols>
  <sheetData>
    <row r="3" spans="1:4" ht="16.5" thickBot="1">
      <c r="A3" s="45"/>
      <c r="B3" s="45"/>
      <c r="C3" s="45"/>
      <c r="D3" s="12"/>
    </row>
    <row r="4" spans="5:55" s="1" customFormat="1" ht="16.5" thickBot="1">
      <c r="E4" s="13" t="s">
        <v>29</v>
      </c>
      <c r="F4" s="14">
        <v>1</v>
      </c>
      <c r="G4" s="15">
        <v>2</v>
      </c>
      <c r="H4" s="15">
        <v>3</v>
      </c>
      <c r="I4" s="15">
        <v>4</v>
      </c>
      <c r="J4" s="15">
        <v>5</v>
      </c>
      <c r="K4" s="15">
        <v>6</v>
      </c>
      <c r="L4" s="15">
        <v>7</v>
      </c>
      <c r="M4" s="15">
        <v>8</v>
      </c>
      <c r="N4" s="15">
        <v>9</v>
      </c>
      <c r="O4" s="15">
        <v>10</v>
      </c>
      <c r="P4" s="15">
        <v>11</v>
      </c>
      <c r="Q4" s="15">
        <v>12</v>
      </c>
      <c r="R4" s="15">
        <v>13</v>
      </c>
      <c r="S4" s="15">
        <v>14</v>
      </c>
      <c r="T4" s="15">
        <v>15</v>
      </c>
      <c r="U4" s="15">
        <v>16</v>
      </c>
      <c r="V4" s="15">
        <v>17</v>
      </c>
      <c r="W4" s="15">
        <v>18</v>
      </c>
      <c r="X4" s="15">
        <v>19</v>
      </c>
      <c r="Y4" s="15">
        <v>20</v>
      </c>
      <c r="Z4" s="15">
        <v>21</v>
      </c>
      <c r="AA4" s="15">
        <v>22</v>
      </c>
      <c r="AB4" s="15">
        <v>23</v>
      </c>
      <c r="AC4" s="15">
        <v>24</v>
      </c>
      <c r="AD4" s="15">
        <v>25</v>
      </c>
      <c r="AE4" s="15">
        <v>26</v>
      </c>
      <c r="AF4" s="15">
        <v>27</v>
      </c>
      <c r="AG4" s="15">
        <v>28</v>
      </c>
      <c r="AH4" s="15">
        <v>29</v>
      </c>
      <c r="AI4" s="15">
        <v>30</v>
      </c>
      <c r="AJ4" s="15">
        <v>31</v>
      </c>
      <c r="AK4" s="15">
        <v>32</v>
      </c>
      <c r="AL4" s="15">
        <v>33</v>
      </c>
      <c r="AM4" s="15">
        <v>34</v>
      </c>
      <c r="AN4" s="15">
        <v>35</v>
      </c>
      <c r="AO4" s="15">
        <v>36</v>
      </c>
      <c r="AP4" s="15">
        <v>37</v>
      </c>
      <c r="AQ4" s="15">
        <v>38</v>
      </c>
      <c r="AR4" s="15">
        <v>39</v>
      </c>
      <c r="AS4" s="16">
        <v>40</v>
      </c>
      <c r="AT4" s="16">
        <v>41</v>
      </c>
      <c r="AU4" s="16">
        <v>42</v>
      </c>
      <c r="AV4" s="16">
        <v>43</v>
      </c>
      <c r="AW4" s="16">
        <v>44</v>
      </c>
      <c r="AX4" s="16">
        <v>45</v>
      </c>
      <c r="AY4" s="16">
        <v>46</v>
      </c>
      <c r="AZ4" s="16">
        <v>47</v>
      </c>
      <c r="BA4" s="16">
        <v>48</v>
      </c>
      <c r="BB4" s="16">
        <v>49</v>
      </c>
      <c r="BC4" s="16">
        <v>50</v>
      </c>
    </row>
    <row r="5" spans="2:56" s="1" customFormat="1" ht="16.5" thickBot="1">
      <c r="B5" s="17" t="s">
        <v>30</v>
      </c>
      <c r="C5" s="18" t="s">
        <v>31</v>
      </c>
      <c r="D5" s="19" t="s">
        <v>32</v>
      </c>
      <c r="E5" s="20" t="s">
        <v>33</v>
      </c>
      <c r="F5" s="21">
        <f>'Production Parameters'!D21+'Juveniles &amp; Nursery'!D26</f>
        <v>0</v>
      </c>
      <c r="G5" s="22">
        <f>F5+'Production Parameters'!$D$23+'Production Parameters'!$D$21</f>
        <v>0</v>
      </c>
      <c r="H5" s="22">
        <f>G5+'Production Parameters'!$D$23+'Production Parameters'!$D$21</f>
        <v>0</v>
      </c>
      <c r="I5" s="22">
        <f>H5+'Production Parameters'!$D$23+'Production Parameters'!$D$21</f>
        <v>0</v>
      </c>
      <c r="J5" s="22">
        <f>I5+'Production Parameters'!$D$23+'Production Parameters'!$D$21</f>
        <v>0</v>
      </c>
      <c r="K5" s="22">
        <f>J5+'Production Parameters'!$D$23+'Production Parameters'!$D$21</f>
        <v>0</v>
      </c>
      <c r="L5" s="22">
        <f>K5+'Production Parameters'!$D$23+'Production Parameters'!$D$21</f>
        <v>0</v>
      </c>
      <c r="M5" s="22">
        <f>L5+'Production Parameters'!$D$23+'Production Parameters'!$D$21</f>
        <v>0</v>
      </c>
      <c r="N5" s="22">
        <f>M5+'Production Parameters'!$D$23+'Production Parameters'!$D$21</f>
        <v>0</v>
      </c>
      <c r="O5" s="22">
        <f>N5+'Production Parameters'!$D$23+'Production Parameters'!$D$21</f>
        <v>0</v>
      </c>
      <c r="P5" s="22">
        <f>O5+'Production Parameters'!$D$23+'Production Parameters'!$D$21</f>
        <v>0</v>
      </c>
      <c r="Q5" s="22">
        <f>P5+'Production Parameters'!$D$23+'Production Parameters'!$D$21</f>
        <v>0</v>
      </c>
      <c r="R5" s="22">
        <f>Q5+'Production Parameters'!$D$23+'Production Parameters'!$D$21</f>
        <v>0</v>
      </c>
      <c r="S5" s="22">
        <f>R5+'Production Parameters'!$D$23+'Production Parameters'!$D$21</f>
        <v>0</v>
      </c>
      <c r="T5" s="22">
        <f>S5+'Production Parameters'!$D$23+'Production Parameters'!$D$21</f>
        <v>0</v>
      </c>
      <c r="U5" s="22">
        <f>T5+'Production Parameters'!$D$23+'Production Parameters'!$D$21</f>
        <v>0</v>
      </c>
      <c r="V5" s="22">
        <f>U5+'Production Parameters'!$D$23+'Production Parameters'!$D$21</f>
        <v>0</v>
      </c>
      <c r="W5" s="22">
        <f>V5+'Production Parameters'!$D$23+'Production Parameters'!$D$21</f>
        <v>0</v>
      </c>
      <c r="X5" s="22">
        <f>W5+'Production Parameters'!$D$23+'Production Parameters'!$D$21</f>
        <v>0</v>
      </c>
      <c r="Y5" s="22">
        <f>X5+'Production Parameters'!$D$23+'Production Parameters'!$D$21</f>
        <v>0</v>
      </c>
      <c r="Z5" s="22">
        <f>Y5+'Production Parameters'!$D$23+'Production Parameters'!$D$21</f>
        <v>0</v>
      </c>
      <c r="AA5" s="22">
        <f>Z5+'Production Parameters'!$D$23+'Production Parameters'!$D$21</f>
        <v>0</v>
      </c>
      <c r="AB5" s="22">
        <f>AA5+'Production Parameters'!$D$23+'Production Parameters'!$D$21</f>
        <v>0</v>
      </c>
      <c r="AC5" s="22">
        <f>AB5+'Production Parameters'!$D$23+'Production Parameters'!$D$21</f>
        <v>0</v>
      </c>
      <c r="AD5" s="22">
        <f>AC5+'Production Parameters'!$D$23+'Production Parameters'!$D$21</f>
        <v>0</v>
      </c>
      <c r="AE5" s="22">
        <f>AD5+'Production Parameters'!$D$23+'Production Parameters'!$D$21</f>
        <v>0</v>
      </c>
      <c r="AF5" s="22">
        <f>AE5+'Production Parameters'!$D$23+'Production Parameters'!$D$21</f>
        <v>0</v>
      </c>
      <c r="AG5" s="22">
        <f>AF5+'Production Parameters'!$D$23+'Production Parameters'!$D$21</f>
        <v>0</v>
      </c>
      <c r="AH5" s="22">
        <f>AG5+'Production Parameters'!$D$23+'Production Parameters'!$D$21</f>
        <v>0</v>
      </c>
      <c r="AI5" s="22">
        <f>AH5+'Production Parameters'!$D$23+'Production Parameters'!$D$21</f>
        <v>0</v>
      </c>
      <c r="AJ5" s="22">
        <f>AI5+'Production Parameters'!$D$23+'Production Parameters'!$D$21</f>
        <v>0</v>
      </c>
      <c r="AK5" s="22">
        <f>AJ5+'Production Parameters'!$D$23+'Production Parameters'!$D$21</f>
        <v>0</v>
      </c>
      <c r="AL5" s="22">
        <f>AK5+'Production Parameters'!$D$23+'Production Parameters'!$D$21</f>
        <v>0</v>
      </c>
      <c r="AM5" s="22">
        <f>AL5+'Production Parameters'!$D$23+'Production Parameters'!$D$21</f>
        <v>0</v>
      </c>
      <c r="AN5" s="22">
        <f>AM5+'Production Parameters'!$D$23+'Production Parameters'!$D$21</f>
        <v>0</v>
      </c>
      <c r="AO5" s="22">
        <f>AN5+'Production Parameters'!$D$23+'Production Parameters'!$D$21</f>
        <v>0</v>
      </c>
      <c r="AP5" s="22">
        <f>AO5+'Production Parameters'!$D$23+'Production Parameters'!$D$21</f>
        <v>0</v>
      </c>
      <c r="AQ5" s="22">
        <f>AP5+'Production Parameters'!$D$23+'Production Parameters'!$D$21</f>
        <v>0</v>
      </c>
      <c r="AR5" s="22">
        <f>AQ5+'Production Parameters'!$D$23+'Production Parameters'!$D$21</f>
        <v>0</v>
      </c>
      <c r="AS5" s="22">
        <f>AR5+'Production Parameters'!$D$23+'Production Parameters'!$D$21</f>
        <v>0</v>
      </c>
      <c r="AT5" s="22">
        <f>AS5+'Production Parameters'!$D$23+'Production Parameters'!$D$21</f>
        <v>0</v>
      </c>
      <c r="AU5" s="22">
        <f>AT5+'Production Parameters'!$D$23+'Production Parameters'!$D$21</f>
        <v>0</v>
      </c>
      <c r="AV5" s="22">
        <f>AU5+'Production Parameters'!$D$23+'Production Parameters'!$D$21</f>
        <v>0</v>
      </c>
      <c r="AW5" s="22">
        <f>AV5+'Production Parameters'!$D$23+'Production Parameters'!$D$21</f>
        <v>0</v>
      </c>
      <c r="AX5" s="22">
        <f>AW5+'Production Parameters'!$D$23+'Production Parameters'!$D$21</f>
        <v>0</v>
      </c>
      <c r="AY5" s="22">
        <f>AX5+'Production Parameters'!$D$23+'Production Parameters'!$D$21</f>
        <v>0</v>
      </c>
      <c r="AZ5" s="22">
        <f>AY5+'Production Parameters'!$D$23+'Production Parameters'!$D$21</f>
        <v>0</v>
      </c>
      <c r="BA5" s="22">
        <f>AZ5+'Production Parameters'!$D$23+'Production Parameters'!$D$21</f>
        <v>0</v>
      </c>
      <c r="BB5" s="22">
        <f>BA5+'Production Parameters'!$D$23+'Production Parameters'!$D$21</f>
        <v>0</v>
      </c>
      <c r="BC5" s="22">
        <f>BB5+'Production Parameters'!$D$23+'Production Parameters'!$D$21</f>
        <v>0</v>
      </c>
      <c r="BD5" s="9" t="s">
        <v>27</v>
      </c>
    </row>
    <row r="6" spans="2:56" s="1" customFormat="1" ht="16.5" thickBot="1">
      <c r="B6" s="23">
        <v>1</v>
      </c>
      <c r="C6" s="24">
        <v>0.1</v>
      </c>
      <c r="D6" s="25">
        <v>12</v>
      </c>
      <c r="E6" s="26"/>
      <c r="F6" s="27">
        <f>IF(AND(C6&lt;=$F$5,D6&gt;=$F$5),'Pond Description'!D30,0)</f>
        <v>0</v>
      </c>
      <c r="G6" s="28">
        <f>IF(AND(C6&lt;=$G$5,D6&gt;=$G$5),'Pond Description'!D30,0)</f>
        <v>0</v>
      </c>
      <c r="H6" s="28">
        <f>IF(AND(C6&lt;=$H$5,D6&gt;=$H$5),'Pond Description'!D30,0)</f>
        <v>0</v>
      </c>
      <c r="I6" s="28">
        <f>IF(AND(C6&lt;=$I$5,D6&gt;=$I$5),'Pond Description'!D30,0)</f>
        <v>0</v>
      </c>
      <c r="J6" s="28">
        <f>IF(AND(C6&lt;=$J$5,D6&gt;=$J$5),'Pond Description'!D30,0)</f>
        <v>0</v>
      </c>
      <c r="K6" s="28">
        <f>IF(AND(C6&lt;=$K$5,D6&gt;=$K$5),'Pond Description'!D30,0)</f>
        <v>0</v>
      </c>
      <c r="L6" s="28">
        <f>IF(AND(C6&lt;=$L$5,D6&gt;=$L$5),'Pond Description'!D30,0)</f>
        <v>0</v>
      </c>
      <c r="M6" s="28">
        <f>IF(AND(C6&lt;=$M$5,D6&gt;=$M$5),'Pond Description'!D30,0)</f>
        <v>0</v>
      </c>
      <c r="N6" s="28">
        <f>IF(AND(C6&lt;=$N$5,D6&gt;=$N$5),'Pond Description'!D30,0)</f>
        <v>0</v>
      </c>
      <c r="O6" s="28">
        <f>IF(AND($C$6&lt;O5,$D$6&gt;O5),'Pond Description'!D30,0)</f>
        <v>0</v>
      </c>
      <c r="P6" s="28">
        <f>IF(AND($C$6&lt;P5,$D$6&gt;P5),'Pond Description'!D30,0)</f>
        <v>0</v>
      </c>
      <c r="Q6" s="28">
        <f>IF(AND($C$6&lt;Q5,$D$6&gt;Q5),'Pond Description'!D30,0)</f>
        <v>0</v>
      </c>
      <c r="R6" s="28">
        <f>IF(AND($C$6&lt;R5,$D$6&gt;R5),'Pond Description'!D30,0)</f>
        <v>0</v>
      </c>
      <c r="S6" s="28">
        <f>IF(AND($C$6&lt;S5,$D$6&gt;S5),'Pond Description'!D30,0)</f>
        <v>0</v>
      </c>
      <c r="T6" s="28">
        <f>IF(AND($C$6&lt;T5,$D$6&gt;T5),'Pond Description'!D30,0)</f>
        <v>0</v>
      </c>
      <c r="U6" s="28">
        <f>IF(AND($C$6&lt;U5,$D$6&gt;U5),'Pond Description'!D30,0)</f>
        <v>0</v>
      </c>
      <c r="V6" s="28">
        <f>IF(AND($C$6&lt;V5,$D$6&gt;V5),'Pond Description'!D30,0)</f>
        <v>0</v>
      </c>
      <c r="W6" s="28">
        <f>IF(AND($C$6&lt;W5,$D$6&gt;W5),'Pond Description'!D30,0)</f>
        <v>0</v>
      </c>
      <c r="X6" s="28">
        <f>IF(AND($C$6&lt;X5,$D$6&gt;X5),'Pond Description'!D30,0)</f>
        <v>0</v>
      </c>
      <c r="Y6" s="28">
        <f>IF(AND($C$6&lt;Y5,$D$6&gt;Y5),'Pond Description'!D30,0)</f>
        <v>0</v>
      </c>
      <c r="Z6" s="28">
        <f>IF(AND($C$6&lt;Z5,$D$6&gt;Z5),'Pond Description'!D30,0)</f>
        <v>0</v>
      </c>
      <c r="AA6" s="28">
        <f>IF(AND($C$6&lt;AA5,$D$6&gt;AA5),'Pond Description'!D30,0)</f>
        <v>0</v>
      </c>
      <c r="AB6" s="28">
        <f>IF(AND($C$6&lt;AB5,$D$6&gt;AB5),'Pond Description'!D30,0)</f>
        <v>0</v>
      </c>
      <c r="AC6" s="28">
        <f>IF(AND($C$6&lt;AC5,$D$6&gt;AC5),'Pond Description'!D30,0)</f>
        <v>0</v>
      </c>
      <c r="AD6" s="28">
        <f>IF(AND($C$6&lt;AD5,$D$6&gt;AD5),'Pond Description'!D30,0)</f>
        <v>0</v>
      </c>
      <c r="AE6" s="28">
        <f>IF(AND($C$6&lt;AE5,$D$6&gt;AE5),'Pond Description'!D30,0)</f>
        <v>0</v>
      </c>
      <c r="AF6" s="28">
        <f>IF(AND($C$6&lt;AF5,$D$6&gt;AF5),'Pond Description'!D30,0)</f>
        <v>0</v>
      </c>
      <c r="AG6" s="28">
        <f>IF(AND($C$6&lt;AG5,$D$6&gt;AG5),'Pond Description'!D30,0)</f>
        <v>0</v>
      </c>
      <c r="AH6" s="28">
        <f>IF(AND($C$6&lt;AH5,$D$6&gt;AH5),'Pond Description'!D30,0)</f>
        <v>0</v>
      </c>
      <c r="AI6" s="28">
        <f>IF(AND($C$6&lt;AI5,$D$6&gt;AI5),'Pond Description'!D30,0)</f>
        <v>0</v>
      </c>
      <c r="AJ6" s="28">
        <f>IF(AND($C$6&lt;AJ5,$D$6&gt;AJ5),'Pond Description'!D30,0)</f>
        <v>0</v>
      </c>
      <c r="AK6" s="28">
        <f>IF(AND($C$6&lt;AK5,$D$6&gt;AK5),'Pond Description'!D30,0)</f>
        <v>0</v>
      </c>
      <c r="AL6" s="28">
        <f>IF(AND($C$6&lt;AL5,$D$6&gt;AL5),'Pond Description'!D30,0)</f>
        <v>0</v>
      </c>
      <c r="AM6" s="28">
        <f>IF(AND($C$6&lt;AM5,$D$6&gt;AM5),'Pond Description'!D30,0)</f>
        <v>0</v>
      </c>
      <c r="AN6" s="28">
        <f>IF(AND($C$6&lt;AN5,$D$6&gt;AN5),'Pond Description'!D30,0)</f>
        <v>0</v>
      </c>
      <c r="AO6" s="28">
        <f>IF(AND($C$6&lt;AO5,$D$6&gt;AO5),'Pond Description'!D30,0)</f>
        <v>0</v>
      </c>
      <c r="AP6" s="28">
        <f>IF(AND($C$6&lt;AP5,$D$6&gt;AP5),'Pond Description'!D30,0)</f>
        <v>0</v>
      </c>
      <c r="AQ6" s="28">
        <f>IF(AND($C$6&lt;AQ5,$D$6&gt;AQ5),'Pond Description'!D30,0)</f>
        <v>0</v>
      </c>
      <c r="AR6" s="28">
        <f>IF(AND($C$6&lt;AR5,$D$6&gt;AR5),'Pond Description'!D30,0)</f>
        <v>0</v>
      </c>
      <c r="AS6" s="29">
        <f>IF(AND($C$6&lt;AS5,$D$6&gt;AS5),'Pond Description'!D30,0)</f>
        <v>0</v>
      </c>
      <c r="AT6" s="29">
        <f>IF(AND($C$6&lt;AT5,$D$6&gt;AT5),'Pond Description'!D30,0)</f>
        <v>0</v>
      </c>
      <c r="AU6" s="29">
        <f>IF(AND($C$6&lt;AU5,$D$6&gt;AU5),'Pond Description'!D30,0)</f>
        <v>0</v>
      </c>
      <c r="AV6" s="29">
        <f>IF(AND($C$6&lt;AV5,$D$6&gt;AV5),'Pond Description'!D30,0)</f>
        <v>0</v>
      </c>
      <c r="AW6" s="29">
        <f>IF(AND($C$6&lt;AW5,$D$6&gt;AW5),'Pond Description'!D30,0)</f>
        <v>0</v>
      </c>
      <c r="AX6" s="29">
        <f>IF(AND($C$6&lt;AX5,$D$6&gt;AX5),'Pond Description'!D30,0)</f>
        <v>0</v>
      </c>
      <c r="AY6" s="29">
        <f>IF(AND($C$6&lt;AY5,$D$6&gt;AY5),'Pond Description'!D30,0)</f>
        <v>0</v>
      </c>
      <c r="AZ6" s="29">
        <f>IF(AND($C$6&lt;AZ5,$D$6&gt;AZ5),'Pond Description'!D30,0)</f>
        <v>0</v>
      </c>
      <c r="BA6" s="29">
        <f>IF(AND($C$6&lt;BA5,$D$6&gt;BA5),'Pond Description'!D30,0)</f>
        <v>0</v>
      </c>
      <c r="BB6" s="29">
        <f>IF(AND($C$6&lt;BB5,$D$6&gt;BB5),'Pond Description'!D30,0)</f>
        <v>0</v>
      </c>
      <c r="BC6" s="29">
        <f>IF(AND($C$6&lt;BC5,$D$6&gt;BC5),'Pond Description'!D30,0)</f>
        <v>0</v>
      </c>
      <c r="BD6" s="30">
        <f aca="true" t="shared" si="0" ref="BD6:BD25">SUM(F6:BC6)</f>
        <v>0</v>
      </c>
    </row>
    <row r="7" spans="2:56" s="1" customFormat="1" ht="16.5" thickBot="1">
      <c r="B7" s="31">
        <v>2</v>
      </c>
      <c r="C7" s="32">
        <v>12.1</v>
      </c>
      <c r="D7" s="33">
        <v>24</v>
      </c>
      <c r="E7" s="34"/>
      <c r="F7" s="35">
        <f>IF(AND(C7&lt;=$F$5,D7&gt;=$F$5),'Pond Description'!D30,0)</f>
        <v>0</v>
      </c>
      <c r="G7" s="36">
        <f>IF(AND(C7&lt;=$G$5,D7&gt;=$G$5),'Pond Description'!D30,0)</f>
        <v>0</v>
      </c>
      <c r="H7" s="36">
        <f>IF(AND(C7&lt;=$H$5,D7&gt;=$H$5),'Pond Description'!D30,0)</f>
        <v>0</v>
      </c>
      <c r="I7" s="36">
        <f>IF(AND(C7&lt;=$I$5,D7&gt;=$I$5),'Pond Description'!D30,0)</f>
        <v>0</v>
      </c>
      <c r="J7" s="36">
        <f>IF(AND(C7&lt;=$J$5,D7&gt;=$J$5),'Pond Description'!D30,0)</f>
        <v>0</v>
      </c>
      <c r="K7" s="36">
        <f>IF(AND(C7&lt;=$K$5,D7&gt;=$K$5),'Pond Description'!D30,0)</f>
        <v>0</v>
      </c>
      <c r="L7" s="36">
        <f>IF(AND(C7&lt;=$L$5,D7&gt;=$L$5),'Pond Description'!D30,0)</f>
        <v>0</v>
      </c>
      <c r="M7" s="36">
        <f>IF(AND(C7&lt;=$M$5,D7&gt;=$M$5),'Pond Description'!D30,0)</f>
        <v>0</v>
      </c>
      <c r="N7" s="36">
        <f>IF(AND($C$7&lt;=N5,$D$7&gt;=N5),'Pond Description'!D30,0)</f>
        <v>0</v>
      </c>
      <c r="O7" s="36">
        <f>IF(AND($C$7&lt;=O5,$D$7&gt;=O5),'Pond Description'!D30,0)</f>
        <v>0</v>
      </c>
      <c r="P7" s="36">
        <f>IF(AND($C$7&lt;=P5,$D$7&gt;=P5),'Pond Description'!D30,0)</f>
        <v>0</v>
      </c>
      <c r="Q7" s="36">
        <f>IF(AND($C$7&lt;=Q5,$D$7&gt;=Q5),'Pond Description'!D30,0)</f>
        <v>0</v>
      </c>
      <c r="R7" s="36">
        <f>IF(AND($C$7&lt;=R5,$D$7&gt;=R5),'Pond Description'!D30,0)</f>
        <v>0</v>
      </c>
      <c r="S7" s="36">
        <f>IF(AND($C$7&lt;=S5,$D$7&gt;=S5),'Pond Description'!D30,0)</f>
        <v>0</v>
      </c>
      <c r="T7" s="36">
        <f>IF(AND($C$7&lt;=T5,$D$7&gt;=T5),'Pond Description'!D30,0)</f>
        <v>0</v>
      </c>
      <c r="U7" s="36">
        <f>IF(AND($C$7&lt;=U5,$D$7&gt;=U5),'Pond Description'!D30,0)</f>
        <v>0</v>
      </c>
      <c r="V7" s="36">
        <f>IF(AND($C$7&lt;=V5,$D$7&gt;=V5),'Pond Description'!D30,0)</f>
        <v>0</v>
      </c>
      <c r="W7" s="36">
        <f>IF(AND($C$7&lt;=W5,$D$7&gt;=W5),'Pond Description'!D30,0)</f>
        <v>0</v>
      </c>
      <c r="X7" s="36">
        <f>IF(AND($C$7&lt;=X5,$D$7&gt;=X5),'Pond Description'!D30,0)</f>
        <v>0</v>
      </c>
      <c r="Y7" s="36">
        <f>IF(AND($C$7&lt;=Y5,$D$7&gt;=Y5),'Pond Description'!D30,0)</f>
        <v>0</v>
      </c>
      <c r="Z7" s="36">
        <f>IF(AND($C$7&lt;=Z5,$D$7&gt;=Z5),'Pond Description'!D30,0)</f>
        <v>0</v>
      </c>
      <c r="AA7" s="36">
        <f>IF(AND($C$7&lt;=AA5,$D$7&gt;=AA5),'Pond Description'!D30,0)</f>
        <v>0</v>
      </c>
      <c r="AB7" s="36">
        <f>IF(AND($C$7&lt;=AB5,$D$7&gt;=AB5),'Pond Description'!D30,0)</f>
        <v>0</v>
      </c>
      <c r="AC7" s="36">
        <f>IF(AND($C$7&lt;=AC5,$D$7&gt;=AC5),'Pond Description'!D30,0)</f>
        <v>0</v>
      </c>
      <c r="AD7" s="36">
        <f>IF(AND($C$7&lt;=AD5,$D$7&gt;=AD5),'Pond Description'!D30,0)</f>
        <v>0</v>
      </c>
      <c r="AE7" s="36">
        <f>IF(AND($C$7&lt;=AE5,$D$7&gt;=AE5),'Pond Description'!D30,0)</f>
        <v>0</v>
      </c>
      <c r="AF7" s="36">
        <f>IF(AND($C$7&lt;=AF5,$D$7&gt;=AF5),'Pond Description'!D30,0)</f>
        <v>0</v>
      </c>
      <c r="AG7" s="36">
        <f>IF(AND($C$7&lt;=AG5,$D$7&gt;=AG5),'Pond Description'!D30,0)</f>
        <v>0</v>
      </c>
      <c r="AH7" s="36">
        <f>IF(AND($C$7&lt;=AH5,$D$7&gt;=AH5),'Pond Description'!D30,0)</f>
        <v>0</v>
      </c>
      <c r="AI7" s="36">
        <f>IF(AND($C$7&lt;=AI5,$D$7&gt;=AI5),'Pond Description'!D30,0)</f>
        <v>0</v>
      </c>
      <c r="AJ7" s="36">
        <f>IF(AND($C$7&lt;=AJ5,$D$7&gt;=AJ5),'Pond Description'!D30,0)</f>
        <v>0</v>
      </c>
      <c r="AK7" s="36">
        <f>IF(AND($C$7&lt;=AK5,$D$7&gt;=AK5),'Pond Description'!D30,0)</f>
        <v>0</v>
      </c>
      <c r="AL7" s="36">
        <f>IF(AND($C$7&lt;=AL5,$D$7&gt;=AL5),'Pond Description'!D30,0)</f>
        <v>0</v>
      </c>
      <c r="AM7" s="36">
        <f>IF(AND($C$7&lt;=AM5,$D$7&gt;=AM5),'Pond Description'!D30,0)</f>
        <v>0</v>
      </c>
      <c r="AN7" s="36">
        <f>IF(AND($C$7&lt;=AN5,$D$7&gt;=AN5),'Pond Description'!D30,0)</f>
        <v>0</v>
      </c>
      <c r="AO7" s="36">
        <f>IF(AND($C$7&lt;=AO5,$D$7&gt;=AO5),'Pond Description'!D30,0)</f>
        <v>0</v>
      </c>
      <c r="AP7" s="36">
        <f>IF(AND($C$7&lt;=AP5,$D$7&gt;=AP5),'Pond Description'!D30,0)</f>
        <v>0</v>
      </c>
      <c r="AQ7" s="36">
        <f>IF(AND($C$7&lt;=AQ5,$D$7&gt;=AQ5),'Pond Description'!D30,0)</f>
        <v>0</v>
      </c>
      <c r="AR7" s="36">
        <f>IF(AND($C$7&lt;=AR5,$D$7&gt;=AR5),'Pond Description'!D30,0)</f>
        <v>0</v>
      </c>
      <c r="AS7" s="37">
        <f>IF(AND($C$7&lt;=AS5,$D$7&gt;=AS5),'Pond Description'!D30,0)</f>
        <v>0</v>
      </c>
      <c r="AT7" s="37">
        <f>IF(AND($C$7&lt;=AT5,$D$7&gt;=AT5),'Pond Description'!D30,0)</f>
        <v>0</v>
      </c>
      <c r="AU7" s="37">
        <f>IF(AND($C$7&lt;=AU5,$D$7&gt;=AU5),'Pond Description'!D30,0)</f>
        <v>0</v>
      </c>
      <c r="AV7" s="37">
        <f>IF(AND($C$7&lt;=AV5,$D$7&gt;=AV5),'Pond Description'!D30,0)</f>
        <v>0</v>
      </c>
      <c r="AW7" s="37">
        <f>IF(AND($C$7&lt;=AW5,$D$7&gt;=AW5),'Pond Description'!D30,0)</f>
        <v>0</v>
      </c>
      <c r="AX7" s="37">
        <f>IF(AND($C$7&lt;=AX5,$D$7&gt;=AX5),'Pond Description'!D30,0)</f>
        <v>0</v>
      </c>
      <c r="AY7" s="37">
        <f>IF(AND($C$7&lt;=AY5,$D$7&gt;=AY5),'Pond Description'!D30,0)</f>
        <v>0</v>
      </c>
      <c r="AZ7" s="37">
        <f>IF(AND($C$7&lt;=AZ5,$D$7&gt;=AZ5),'Pond Description'!D30,0)</f>
        <v>0</v>
      </c>
      <c r="BA7" s="37">
        <f>IF(AND($C$7&lt;=BA5,$D$7&gt;=BA5),'Pond Description'!D30,0)</f>
        <v>0</v>
      </c>
      <c r="BB7" s="37">
        <f>IF(AND($C$7&lt;=BB5,$D$7&gt;=BB5),'Pond Description'!D30,0)</f>
        <v>0</v>
      </c>
      <c r="BC7" s="37">
        <f>IF(AND($C$7&lt;=BC5,$D$7&gt;=BC5),'Pond Description'!D30,0)</f>
        <v>0</v>
      </c>
      <c r="BD7" s="30">
        <f t="shared" si="0"/>
        <v>0</v>
      </c>
    </row>
    <row r="8" spans="2:56" s="1" customFormat="1" ht="16.5" thickBot="1">
      <c r="B8" s="31">
        <v>3</v>
      </c>
      <c r="C8" s="32">
        <v>24.1</v>
      </c>
      <c r="D8" s="33">
        <v>36</v>
      </c>
      <c r="E8" s="34"/>
      <c r="F8" s="35">
        <f>IF(AND(C8&lt;=$F$5,D8&gt;=$F$5),'Pond Description'!D30,0)</f>
        <v>0</v>
      </c>
      <c r="G8" s="36">
        <f>IF(AND(C8&lt;=$G$5,D8&gt;=$G$5),'Pond Description'!D30,0)</f>
        <v>0</v>
      </c>
      <c r="H8" s="36">
        <f>IF(AND(C8&lt;=$H$5,D8&gt;=$H$5),'Pond Description'!D30,0)</f>
        <v>0</v>
      </c>
      <c r="I8" s="36">
        <f>IF(AND(C8&lt;=$I$5,D8&gt;=$I$5),'Pond Description'!D30,0)</f>
        <v>0</v>
      </c>
      <c r="J8" s="36">
        <f>IF(AND(C8&lt;=$J$5,D8&gt;=$J$5),'Pond Description'!D30,0)</f>
        <v>0</v>
      </c>
      <c r="K8" s="36">
        <f>IF(AND(C8&lt;=$K$5,D8&gt;=$K$5),'Pond Description'!D30,0)</f>
        <v>0</v>
      </c>
      <c r="L8" s="36">
        <f>IF(AND(C8&lt;=$L$5,D8&gt;=$L$5),'Pond Description'!D30,0)</f>
        <v>0</v>
      </c>
      <c r="M8" s="36">
        <f>IF(AND(C8&lt;=$M$5,D8&gt;=$M$5),'Pond Description'!D30,0)</f>
        <v>0</v>
      </c>
      <c r="N8" s="36">
        <f>IF(AND($C$8&lt;=N5,$D$8&gt;=N5),'Pond Description'!D30,0)</f>
        <v>0</v>
      </c>
      <c r="O8" s="36">
        <f>IF(AND($C$8&lt;=O5,$D$8&gt;=O5),'Pond Description'!D30,0)</f>
        <v>0</v>
      </c>
      <c r="P8" s="36">
        <f>IF(AND($C$8&lt;=P5,$D$8&gt;=P5),'Pond Description'!D30,0)</f>
        <v>0</v>
      </c>
      <c r="Q8" s="36">
        <f>IF(AND($C$8&lt;=Q5,$D$8&gt;=Q5),'Pond Description'!D30,0)</f>
        <v>0</v>
      </c>
      <c r="R8" s="36">
        <f>IF(AND($C$8&lt;=R5,$D$8&gt;=R5),'Pond Description'!D30,0)</f>
        <v>0</v>
      </c>
      <c r="S8" s="36">
        <f>IF(AND($C$8&lt;=S5,$D$8&gt;=S5),'Pond Description'!D30,0)</f>
        <v>0</v>
      </c>
      <c r="T8" s="36">
        <f>IF(AND($C$8&lt;=T5,$D$8&gt;=T5),'Pond Description'!D30,0)</f>
        <v>0</v>
      </c>
      <c r="U8" s="36">
        <f>IF(AND($C$8&lt;=U5,$D$8&gt;=U5),'Pond Description'!D30,0)</f>
        <v>0</v>
      </c>
      <c r="V8" s="36">
        <f>IF(AND($C$8&lt;=V5,$D$8&gt;=V5),'Pond Description'!D30,0)</f>
        <v>0</v>
      </c>
      <c r="W8" s="36">
        <f>IF(AND($C$8&lt;=W5,$D$8&gt;=W5),'Pond Description'!D30,0)</f>
        <v>0</v>
      </c>
      <c r="X8" s="36">
        <f>IF(AND($C$8&lt;=X5,$D$8&gt;=X5),'Pond Description'!D30,0)</f>
        <v>0</v>
      </c>
      <c r="Y8" s="36">
        <f>IF(AND($C$8&lt;=Y5,$D$8&gt;=Y5),'Pond Description'!D30,0)</f>
        <v>0</v>
      </c>
      <c r="Z8" s="36">
        <f>IF(AND($C$8&lt;=Z5,$D$8&gt;=Z5),'Pond Description'!D30,0)</f>
        <v>0</v>
      </c>
      <c r="AA8" s="36">
        <f>IF(AND($C$8&lt;=AA5,$D$8&gt;=AA5),'Pond Description'!D30,0)</f>
        <v>0</v>
      </c>
      <c r="AB8" s="36">
        <f>IF(AND($C$8&lt;=AB5,$D$8&gt;=AB5),'Pond Description'!D30,0)</f>
        <v>0</v>
      </c>
      <c r="AC8" s="36">
        <f>IF(AND($C$8&lt;=AC5,$D$8&gt;=AC5),'Pond Description'!D30,0)</f>
        <v>0</v>
      </c>
      <c r="AD8" s="36">
        <f>IF(AND($C$8&lt;=AD5,$D$8&gt;=AD5),'Pond Description'!D30,0)</f>
        <v>0</v>
      </c>
      <c r="AE8" s="36">
        <f>IF(AND($C$8&lt;=AE5,$D$8&gt;=AE5),'Pond Description'!D30,0)</f>
        <v>0</v>
      </c>
      <c r="AF8" s="36">
        <f>IF(AND($C$8&lt;=AF5,$D$8&gt;=AF5),'Pond Description'!D30,0)</f>
        <v>0</v>
      </c>
      <c r="AG8" s="36">
        <f>IF(AND($C$8&lt;=AG5,$D$8&gt;=AG5),'Pond Description'!D30,0)</f>
        <v>0</v>
      </c>
      <c r="AH8" s="36">
        <f>IF(AND($C$8&lt;=AH5,$D$8&gt;=AH5),'Pond Description'!D30,0)</f>
        <v>0</v>
      </c>
      <c r="AI8" s="36">
        <f>IF(AND($C$8&lt;=AI5,$D$8&gt;=AI5),'Pond Description'!D30,0)</f>
        <v>0</v>
      </c>
      <c r="AJ8" s="36">
        <f>IF(AND($C$8&lt;=AJ5,$D$8&gt;=AJ5),'Pond Description'!D30,0)</f>
        <v>0</v>
      </c>
      <c r="AK8" s="36">
        <f>IF(AND($C$8&lt;=AK5,$D$8&gt;=AK5),'Pond Description'!D30,0)</f>
        <v>0</v>
      </c>
      <c r="AL8" s="36">
        <f>IF(AND($C$8&lt;=AL5,$D$8&gt;=AL5),'Pond Description'!D30,0)</f>
        <v>0</v>
      </c>
      <c r="AM8" s="36">
        <f>IF(AND($C$8&lt;=AM5,$D$8&gt;=AM5),'Pond Description'!D30,0)</f>
        <v>0</v>
      </c>
      <c r="AN8" s="36">
        <f>IF(AND($C$8&lt;=AN5,$D$8&gt;=AN5),'Pond Description'!D30,0)</f>
        <v>0</v>
      </c>
      <c r="AO8" s="36">
        <f>IF(AND($C$8&lt;=AO5,$D$8&gt;=AO5),'Pond Description'!D30,0)</f>
        <v>0</v>
      </c>
      <c r="AP8" s="36">
        <f>IF(AND($C$8&lt;=AP5,$D$8&gt;=AP5),'Pond Description'!D30,0)</f>
        <v>0</v>
      </c>
      <c r="AQ8" s="36">
        <f>IF(AND($C$8&lt;=AQ5,$D$8&gt;=AQ5),'Pond Description'!D30,0)</f>
        <v>0</v>
      </c>
      <c r="AR8" s="36">
        <f>IF(AND($C$8&lt;=AR5,$D$8&gt;=AR5),'Pond Description'!D30,0)</f>
        <v>0</v>
      </c>
      <c r="AS8" s="37">
        <f>IF(AND($C$8&lt;=AS5,$D$8&gt;=AS5),'Pond Description'!D30,0)</f>
        <v>0</v>
      </c>
      <c r="AT8" s="37">
        <f>IF(AND($C$8&lt;=AT5,$D$8&gt;=AT5),'Pond Description'!D30,0)</f>
        <v>0</v>
      </c>
      <c r="AU8" s="37">
        <f>IF(AND($C$8&lt;=AU5,$D$8&gt;=AU5),'Pond Description'!D30,0)</f>
        <v>0</v>
      </c>
      <c r="AV8" s="37">
        <f>IF(AND($C$8&lt;=AV5,$D$8&gt;=AV5),'Pond Description'!D30,0)</f>
        <v>0</v>
      </c>
      <c r="AW8" s="37">
        <f>IF(AND($C$8&lt;=AW5,$D$8&gt;=AW5),'Pond Description'!D30,0)</f>
        <v>0</v>
      </c>
      <c r="AX8" s="37">
        <f>IF(AND($C$8&lt;=AX5,$D$8&gt;=AX5),'Pond Description'!D30,0)</f>
        <v>0</v>
      </c>
      <c r="AY8" s="37">
        <f>IF(AND($C$8&lt;=AY5,$D$8&gt;=AY5),'Pond Description'!D30,0)</f>
        <v>0</v>
      </c>
      <c r="AZ8" s="37">
        <f>IF(AND($C$8&lt;=AZ5,$D$8&gt;=AZ5),'Pond Description'!D30,0)</f>
        <v>0</v>
      </c>
      <c r="BA8" s="37">
        <f>IF(AND($C$8&lt;=BA5,$D$8&gt;=BA5),'Pond Description'!D30,0)</f>
        <v>0</v>
      </c>
      <c r="BB8" s="37">
        <f>IF(AND($C$8&lt;=BB5,$D$8&gt;=BB5),'Pond Description'!D30,0)</f>
        <v>0</v>
      </c>
      <c r="BC8" s="37">
        <f>IF(AND($C$8&lt;=BC5,$D$8&gt;=BC5),'Pond Description'!D30,0)</f>
        <v>0</v>
      </c>
      <c r="BD8" s="30">
        <f t="shared" si="0"/>
        <v>0</v>
      </c>
    </row>
    <row r="9" spans="2:56" s="1" customFormat="1" ht="16.5" thickBot="1">
      <c r="B9" s="31">
        <v>4</v>
      </c>
      <c r="C9" s="32">
        <v>36.1</v>
      </c>
      <c r="D9" s="33">
        <v>48</v>
      </c>
      <c r="E9" s="34"/>
      <c r="F9" s="35">
        <f>IF(AND(C9&lt;=$F$5,D9&gt;=$F$5),'Pond Description'!D30,0)</f>
        <v>0</v>
      </c>
      <c r="G9" s="36">
        <f>IF(AND(C9&lt;=$G$5,D9&gt;=$G$5),'Pond Description'!D30,0)</f>
        <v>0</v>
      </c>
      <c r="H9" s="36">
        <f>IF(AND(C9&lt;=$H$5,D9&gt;=$H$5),'Pond Description'!D30,0)</f>
        <v>0</v>
      </c>
      <c r="I9" s="36">
        <f>IF(AND(C9&lt;=$I$5,D9&gt;=$I$5),'Pond Description'!D30,0)</f>
        <v>0</v>
      </c>
      <c r="J9" s="36">
        <f>IF(AND(C9&lt;=$J$5,D9&gt;=$J$5),'Pond Description'!D30,0)</f>
        <v>0</v>
      </c>
      <c r="K9" s="36">
        <f>IF(AND(C9&lt;=$K$5,D9&gt;=$K$5),'Pond Description'!D30,0)</f>
        <v>0</v>
      </c>
      <c r="L9" s="36">
        <f>IF(AND(C9&lt;=$L$5,D9&gt;=$L$5),'Pond Description'!D30,0)</f>
        <v>0</v>
      </c>
      <c r="M9" s="36">
        <f>IF(AND(C9&lt;=$M$5,D9&gt;=$M$5),'Pond Description'!D30,0)</f>
        <v>0</v>
      </c>
      <c r="N9" s="36">
        <f>IF(AND($C$9&lt;=N5,$D$9&gt;=N5),'Pond Description'!D30,0)</f>
        <v>0</v>
      </c>
      <c r="O9" s="36">
        <f>IF(AND($C$9&lt;=O5,$D$9&gt;=O5),'Pond Description'!D30,0)</f>
        <v>0</v>
      </c>
      <c r="P9" s="36">
        <f>IF(AND($C$9&lt;=P5,$D$9&gt;=P5),'Pond Description'!D30,0)</f>
        <v>0</v>
      </c>
      <c r="Q9" s="36">
        <f>IF(AND($C$9&lt;=Q5,$D$9&gt;=Q5),'Pond Description'!D30,0)</f>
        <v>0</v>
      </c>
      <c r="R9" s="36">
        <f>IF(AND($C$9&lt;=R5,$D$9&gt;=R5),'Pond Description'!D30,0)</f>
        <v>0</v>
      </c>
      <c r="S9" s="36">
        <f>IF(AND($C$9&lt;=S5,$D$9&gt;=S5),'Pond Description'!D30,0)</f>
        <v>0</v>
      </c>
      <c r="T9" s="36">
        <f>IF(AND($C$9&lt;=T5,$D$9&gt;=T5),'Pond Description'!D30,0)</f>
        <v>0</v>
      </c>
      <c r="U9" s="36">
        <f>IF(AND($C$9&lt;=U5,$D$9&gt;=U5),'Pond Description'!D30,0)</f>
        <v>0</v>
      </c>
      <c r="V9" s="36">
        <f>IF(AND($C$9&lt;=V5,$D$9&gt;=V5),'Pond Description'!D30,0)</f>
        <v>0</v>
      </c>
      <c r="W9" s="36">
        <f>IF(AND($C$9&lt;=W5,$D$9&gt;=W5),'Pond Description'!D30,0)</f>
        <v>0</v>
      </c>
      <c r="X9" s="36">
        <f>IF(AND($C$9&lt;=X5,$D$9&gt;=X5),'Pond Description'!D30,0)</f>
        <v>0</v>
      </c>
      <c r="Y9" s="36">
        <f>IF(AND($C$9&lt;=Y5,$D$9&gt;=Y5),'Pond Description'!D30,0)</f>
        <v>0</v>
      </c>
      <c r="Z9" s="36">
        <f>IF(AND($C$9&lt;=Z5,$D$9&gt;=Z5),'Pond Description'!D30,0)</f>
        <v>0</v>
      </c>
      <c r="AA9" s="36">
        <f>IF(AND($C$9&lt;=AA5,$D$9&gt;=AA5),'Pond Description'!D30,0)</f>
        <v>0</v>
      </c>
      <c r="AB9" s="36">
        <f>IF(AND($C$9&lt;=AB5,$D$9&gt;=AB5),'Pond Description'!D30,0)</f>
        <v>0</v>
      </c>
      <c r="AC9" s="36">
        <f>IF(AND($C$9&lt;=AC5,$D$9&gt;=AC5),'Pond Description'!D30,0)</f>
        <v>0</v>
      </c>
      <c r="AD9" s="36">
        <f>IF(AND($C$9&lt;=AD5,$D$9&gt;=AD5),'Pond Description'!D30,0)</f>
        <v>0</v>
      </c>
      <c r="AE9" s="36">
        <f>IF(AND($C$9&lt;=AE5,$D$9&gt;=AE5),'Pond Description'!D30,0)</f>
        <v>0</v>
      </c>
      <c r="AF9" s="36">
        <f>IF(AND($C$9&lt;=AF5,$D$9&gt;=AF5),'Pond Description'!D30,0)</f>
        <v>0</v>
      </c>
      <c r="AG9" s="36">
        <f>IF(AND($C$9&lt;=AG5,$D$9&gt;=AG5),'Pond Description'!D30,0)</f>
        <v>0</v>
      </c>
      <c r="AH9" s="36">
        <f>IF(AND($C$9&lt;=AH5,$D$9&gt;=AH5),'Pond Description'!D30,0)</f>
        <v>0</v>
      </c>
      <c r="AI9" s="36">
        <f>IF(AND($C$9&lt;=AI5,$D$9&gt;=AI5),'Pond Description'!D30,0)</f>
        <v>0</v>
      </c>
      <c r="AJ9" s="36">
        <f>IF(AND($C$9&lt;=AJ5,$D$9&gt;=AJ5),'Pond Description'!D30,0)</f>
        <v>0</v>
      </c>
      <c r="AK9" s="36">
        <f>IF(AND($C$9&lt;=AK5,$D$9&gt;=AK5),'Pond Description'!D30,0)</f>
        <v>0</v>
      </c>
      <c r="AL9" s="36">
        <f>IF(AND($C$9&lt;=AL5,$D$9&gt;=AL5),'Pond Description'!D30,0)</f>
        <v>0</v>
      </c>
      <c r="AM9" s="36">
        <f>IF(AND($C$9&lt;=AM5,$D$9&gt;=AM5),'Pond Description'!D30,0)</f>
        <v>0</v>
      </c>
      <c r="AN9" s="36">
        <f>IF(AND($C$9&lt;=AN5,$D$9&gt;=AN5),'Pond Description'!D30,0)</f>
        <v>0</v>
      </c>
      <c r="AO9" s="36">
        <f>IF(AND($C$9&lt;=AO5,$D$9&gt;=AO5),'Pond Description'!D30,0)</f>
        <v>0</v>
      </c>
      <c r="AP9" s="36">
        <f>IF(AND($C$9&lt;=AP5,$D$9&gt;=AP5),'Pond Description'!D30,0)</f>
        <v>0</v>
      </c>
      <c r="AQ9" s="36">
        <f>IF(AND($C$9&lt;=AQ5,$D$9&gt;=AQ5),'Pond Description'!D30,0)</f>
        <v>0</v>
      </c>
      <c r="AR9" s="36">
        <f>IF(AND($C$9&lt;=AR5,$D$9&gt;=AR5),'Pond Description'!D30,0)</f>
        <v>0</v>
      </c>
      <c r="AS9" s="37">
        <f>IF(AND($C$9&lt;=AS5,$D$9&gt;=AS5),'Pond Description'!D30,0)</f>
        <v>0</v>
      </c>
      <c r="AT9" s="37">
        <f>IF(AND($C$9&lt;=AT5,$D$9&gt;=AT5),'Pond Description'!D30,0)</f>
        <v>0</v>
      </c>
      <c r="AU9" s="37">
        <f>IF(AND($C$9&lt;=AU5,$D$9&gt;=AU5),'Pond Description'!D30,0)</f>
        <v>0</v>
      </c>
      <c r="AV9" s="37">
        <f>IF(AND($C$9&lt;=AV5,$D$9&gt;=AV5),'Pond Description'!D30,0)</f>
        <v>0</v>
      </c>
      <c r="AW9" s="37">
        <f>IF(AND($C$9&lt;=AW5,$D$9&gt;=AW5),'Pond Description'!D30,0)</f>
        <v>0</v>
      </c>
      <c r="AX9" s="37">
        <f>IF(AND($C$9&lt;=AX5,$D$9&gt;=AX5),'Pond Description'!D30,0)</f>
        <v>0</v>
      </c>
      <c r="AY9" s="37">
        <f>IF(AND($C$9&lt;=AY5,$D$9&gt;=AY5),'Pond Description'!D30,0)</f>
        <v>0</v>
      </c>
      <c r="AZ9" s="37">
        <f>IF(AND($C$9&lt;=AZ5,$D$9&gt;=AZ5),'Pond Description'!D30,0)</f>
        <v>0</v>
      </c>
      <c r="BA9" s="37">
        <f>IF(AND($C$9&lt;=BA5,$D$9&gt;=BA5),'Pond Description'!D30,0)</f>
        <v>0</v>
      </c>
      <c r="BB9" s="37">
        <f>IF(AND($C$9&lt;=BB5,$D$9&gt;=BB5),'Pond Description'!D30,0)</f>
        <v>0</v>
      </c>
      <c r="BC9" s="37">
        <f>IF(AND($C$9&lt;=BC5,$D$9&gt;=BC5),'Pond Description'!D30,0)</f>
        <v>0</v>
      </c>
      <c r="BD9" s="30">
        <f t="shared" si="0"/>
        <v>0</v>
      </c>
    </row>
    <row r="10" spans="2:56" s="1" customFormat="1" ht="16.5" thickBot="1">
      <c r="B10" s="31">
        <v>5</v>
      </c>
      <c r="C10" s="32">
        <v>48.1</v>
      </c>
      <c r="D10" s="33">
        <v>60</v>
      </c>
      <c r="E10" s="34"/>
      <c r="F10" s="35">
        <f>IF(AND(C10&lt;=$F$5,D10&gt;=$F$5),'Pond Description'!D30,0)</f>
        <v>0</v>
      </c>
      <c r="G10" s="36">
        <f>IF(AND(C10&lt;=$G$5,D10&gt;=$G$5),'Pond Description'!D30,0)</f>
        <v>0</v>
      </c>
      <c r="H10" s="36">
        <f>IF(AND(C10&lt;=$H$5,D10&gt;=$H$5),'Pond Description'!D30,0)</f>
        <v>0</v>
      </c>
      <c r="I10" s="36">
        <f>IF(AND(C10&lt;=$I$5,D10&gt;=$I$5),'Pond Description'!D30,0)</f>
        <v>0</v>
      </c>
      <c r="J10" s="36">
        <f>IF(AND(C10&lt;=$J$5,D10&gt;=$J$5),'Pond Description'!D30,0)</f>
        <v>0</v>
      </c>
      <c r="K10" s="36">
        <f>IF(AND(C10&lt;=$K$5,D10&gt;=$K$5),'Pond Description'!D30,0)</f>
        <v>0</v>
      </c>
      <c r="L10" s="36">
        <f>IF(AND(C10&lt;=$L$5,D10&gt;=$L$5),'Pond Description'!D30,0)</f>
        <v>0</v>
      </c>
      <c r="M10" s="36">
        <f>IF(AND(C10&lt;=$M$5,D10&gt;=$M$5),'Pond Description'!D30,0)</f>
        <v>0</v>
      </c>
      <c r="N10" s="36">
        <f>IF(AND($C$10&lt;=N5,$D$10&gt;=N5),'Pond Description'!D30,0)</f>
        <v>0</v>
      </c>
      <c r="O10" s="36">
        <f>IF(AND($C$10&lt;=O5,$D$10&gt;=O5),'Pond Description'!D30,0)</f>
        <v>0</v>
      </c>
      <c r="P10" s="36">
        <f>IF(AND($C$10&lt;=P5,$D$10&gt;=P5),'Pond Description'!D30,0)</f>
        <v>0</v>
      </c>
      <c r="Q10" s="36">
        <f>IF(AND($C$10&lt;=Q5,$D$10&gt;=Q5),'Pond Description'!D30,0)</f>
        <v>0</v>
      </c>
      <c r="R10" s="36">
        <f>IF(AND($C$10&lt;=R5,$D$10&gt;=R5),'Pond Description'!D30,0)</f>
        <v>0</v>
      </c>
      <c r="S10" s="36">
        <f>IF(AND($C$10&lt;=S5,$D$10&gt;=S5),'Pond Description'!D30,0)</f>
        <v>0</v>
      </c>
      <c r="T10" s="36">
        <f>IF(AND($C$10&lt;=T5,$D$10&gt;=T5),'Pond Description'!D30,0)</f>
        <v>0</v>
      </c>
      <c r="U10" s="36">
        <f>IF(AND($C$10&lt;=U5,$D$10&gt;=U5),'Pond Description'!D30,0)</f>
        <v>0</v>
      </c>
      <c r="V10" s="36">
        <f>IF(AND($C$10&lt;=V5,$D$10&gt;=V5),'Pond Description'!D30,0)</f>
        <v>0</v>
      </c>
      <c r="W10" s="36">
        <f>IF(AND($C$10&lt;=W5,$D$10&gt;=W5),'Pond Description'!D30,0)</f>
        <v>0</v>
      </c>
      <c r="X10" s="36">
        <f>IF(AND($C$10&lt;=X5,$D$10&gt;=X5),'Pond Description'!D30,0)</f>
        <v>0</v>
      </c>
      <c r="Y10" s="36">
        <f>IF(AND($C$10&lt;=Y5,$D$10&gt;=Y5),'Pond Description'!D30,0)</f>
        <v>0</v>
      </c>
      <c r="Z10" s="36">
        <f>IF(AND($C$10&lt;=Z5,$D$10&gt;=Z5),'Pond Description'!D30,0)</f>
        <v>0</v>
      </c>
      <c r="AA10" s="36">
        <f>IF(AND($C$10&lt;=AA5,$D$10&gt;=AA5),'Pond Description'!D30,0)</f>
        <v>0</v>
      </c>
      <c r="AB10" s="36">
        <f>IF(AND($C$10&lt;=AB5,$D$10&gt;=AB5),'Pond Description'!D30,0)</f>
        <v>0</v>
      </c>
      <c r="AC10" s="36">
        <f>IF(AND($C$10&lt;=AC5,$D$10&gt;=AC5),'Pond Description'!D30,0)</f>
        <v>0</v>
      </c>
      <c r="AD10" s="36">
        <f>IF(AND($C$10&lt;=AD5,$D$10&gt;=AD5),'Pond Description'!D30,0)</f>
        <v>0</v>
      </c>
      <c r="AE10" s="36">
        <f>IF(AND($C$10&lt;=AE5,$D$10&gt;=AE5),'Pond Description'!D30,0)</f>
        <v>0</v>
      </c>
      <c r="AF10" s="36">
        <f>IF(AND($C$10&lt;=AF5,$D$10&gt;=AF5),'Pond Description'!D30,0)</f>
        <v>0</v>
      </c>
      <c r="AG10" s="36">
        <f>IF(AND($C$10&lt;=AG5,$D$10&gt;=AG5),'Pond Description'!D30,0)</f>
        <v>0</v>
      </c>
      <c r="AH10" s="36">
        <f>IF(AND($C$10&lt;=AH5,$D$10&gt;=AH5),'Pond Description'!D30,0)</f>
        <v>0</v>
      </c>
      <c r="AI10" s="36">
        <f>IF(AND($C$10&lt;=AI5,$D$10&gt;=AI5),'Pond Description'!D30,0)</f>
        <v>0</v>
      </c>
      <c r="AJ10" s="36">
        <f>IF(AND($C$10&lt;=AJ5,$D$10&gt;=AJ5),'Pond Description'!D30,0)</f>
        <v>0</v>
      </c>
      <c r="AK10" s="36">
        <f>IF(AND($C$10&lt;=AK5,$D$10&gt;=AK5),'Pond Description'!D30,0)</f>
        <v>0</v>
      </c>
      <c r="AL10" s="36">
        <f>IF(AND($C$10&lt;=AL5,$D$10&gt;=AL5),'Pond Description'!D30,0)</f>
        <v>0</v>
      </c>
      <c r="AM10" s="36">
        <f>IF(AND($C$10&lt;=AM5,$D$10&gt;=AM5),'Pond Description'!D30,0)</f>
        <v>0</v>
      </c>
      <c r="AN10" s="36">
        <f>IF(AND($C$10&lt;=AN5,$D$10&gt;=AN5),'Pond Description'!D30,0)</f>
        <v>0</v>
      </c>
      <c r="AO10" s="36">
        <f>IF(AND($C$10&lt;=AO5,$D$10&gt;=AO5),'Pond Description'!D30,0)</f>
        <v>0</v>
      </c>
      <c r="AP10" s="36">
        <f>IF(AND($C$10&lt;=AP5,$D$10&gt;=AP5),'Pond Description'!D30,0)</f>
        <v>0</v>
      </c>
      <c r="AQ10" s="36">
        <f>IF(AND($C$10&lt;=AQ5,$D$10&gt;=AQ5),'Pond Description'!D30,0)</f>
        <v>0</v>
      </c>
      <c r="AR10" s="36">
        <f>IF(AND($C$10&lt;=AR5,$D$10&gt;=AR5),'Pond Description'!D30,0)</f>
        <v>0</v>
      </c>
      <c r="AS10" s="37">
        <f>IF(AND($C$10&lt;=AS5,$D$10&gt;=AS5),'Pond Description'!D30,0)</f>
        <v>0</v>
      </c>
      <c r="AT10" s="37">
        <f>IF(AND($C$10&lt;=AT5,$D$10&gt;=AT5),'Pond Description'!D30,0)</f>
        <v>0</v>
      </c>
      <c r="AU10" s="37">
        <f>IF(AND($C$10&lt;=AU5,$D$10&gt;=AU5),'Pond Description'!D30,0)</f>
        <v>0</v>
      </c>
      <c r="AV10" s="37">
        <f>IF(AND($C$10&lt;=AV5,$D$10&gt;=AV5),'Pond Description'!D30,0)</f>
        <v>0</v>
      </c>
      <c r="AW10" s="37">
        <f>IF(AND($C$10&lt;=AW5,$D$10&gt;=AW5),'Pond Description'!D30,0)</f>
        <v>0</v>
      </c>
      <c r="AX10" s="37">
        <f>IF(AND($C$10&lt;=AX5,$D$10&gt;=AX5),'Pond Description'!D30,0)</f>
        <v>0</v>
      </c>
      <c r="AY10" s="37">
        <f>IF(AND($C$10&lt;=AY5,$D$10&gt;=AY5),'Pond Description'!D30,0)</f>
        <v>0</v>
      </c>
      <c r="AZ10" s="37">
        <f>IF(AND($C$10&lt;=AZ5,$D$10&gt;=AZ5),'Pond Description'!D30,0)</f>
        <v>0</v>
      </c>
      <c r="BA10" s="37">
        <f>IF(AND($C$10&lt;=BA5,$D$10&gt;=BA5),'Pond Description'!D30,0)</f>
        <v>0</v>
      </c>
      <c r="BB10" s="37">
        <f>IF(AND($C$10&lt;=BB5,$D$10&gt;=BB5),'Pond Description'!D30,0)</f>
        <v>0</v>
      </c>
      <c r="BC10" s="37">
        <f>IF(AND($C$10&lt;=BC5,$D$10&gt;=BC5),'Pond Description'!D30,0)</f>
        <v>0</v>
      </c>
      <c r="BD10" s="30">
        <f t="shared" si="0"/>
        <v>0</v>
      </c>
    </row>
    <row r="11" spans="2:56" s="1" customFormat="1" ht="16.5" thickBot="1">
      <c r="B11" s="31">
        <v>6</v>
      </c>
      <c r="C11" s="32">
        <v>60.1</v>
      </c>
      <c r="D11" s="33">
        <v>72</v>
      </c>
      <c r="E11" s="34"/>
      <c r="F11" s="35">
        <f>IF(AND(C11&lt;=$F$5,D11&gt;=$F$5),'Pond Description'!D30,0)</f>
        <v>0</v>
      </c>
      <c r="G11" s="36">
        <f>IF(AND(C11&lt;=$G$5,D11&gt;=$G$5),'Pond Description'!D30,0)</f>
        <v>0</v>
      </c>
      <c r="H11" s="36">
        <f>IF(AND(C11&lt;=$H$5,D11&gt;=$H$5),'Pond Description'!D30,0)</f>
        <v>0</v>
      </c>
      <c r="I11" s="36">
        <f>IF(AND(C11&lt;=$I$5,D11&gt;=$I$5),'Pond Description'!D30,0)</f>
        <v>0</v>
      </c>
      <c r="J11" s="36">
        <f>IF(AND(C11&lt;=$J$5,D11&gt;=$J$5),'Pond Description'!D30,0)</f>
        <v>0</v>
      </c>
      <c r="K11" s="36">
        <f>IF(AND(C11&lt;=$K$5,D11&gt;=$K$5),'Pond Description'!D30,0)</f>
        <v>0</v>
      </c>
      <c r="L11" s="36">
        <f>IF(AND(C11&lt;=$L$5,D11&gt;=$L$5),'Pond Description'!D30,0)</f>
        <v>0</v>
      </c>
      <c r="M11" s="36">
        <f>IF(AND(C11&lt;=$M$5,D11&gt;=$M$5),'Pond Description'!D30,0)</f>
        <v>0</v>
      </c>
      <c r="N11" s="36">
        <f>IF(AND($C$11&lt;=N5,$D$11&gt;=N5),'Pond Description'!D30,0)</f>
        <v>0</v>
      </c>
      <c r="O11" s="36">
        <f>IF(AND($C$11&lt;=O5,$D$11&gt;=O5),'Pond Description'!D30,0)</f>
        <v>0</v>
      </c>
      <c r="P11" s="36">
        <f>IF(AND($C$11&lt;=P5,$D$11&gt;=P5),'Pond Description'!D30,0)</f>
        <v>0</v>
      </c>
      <c r="Q11" s="36">
        <f>IF(AND($C$11&lt;=Q5,$D$11&gt;=Q5),'Pond Description'!D30,0)</f>
        <v>0</v>
      </c>
      <c r="R11" s="36">
        <f>IF(AND($C$11&lt;=R5,$D$11&gt;=R5),'Pond Description'!D30,0)</f>
        <v>0</v>
      </c>
      <c r="S11" s="36">
        <f>IF(AND($C$11&lt;=S5,$D$11&gt;=S5),'Pond Description'!D30,0)</f>
        <v>0</v>
      </c>
      <c r="T11" s="36">
        <f>IF(AND($C$11&lt;=T5,$D$11&gt;=T5),'Pond Description'!D30,0)</f>
        <v>0</v>
      </c>
      <c r="U11" s="36">
        <f>IF(AND($C$11&lt;=U5,$D$11&gt;=U5),'Pond Description'!D30,0)</f>
        <v>0</v>
      </c>
      <c r="V11" s="36">
        <f>IF(AND($C$11&lt;=V5,$D$11&gt;=V5),'Pond Description'!D30,0)</f>
        <v>0</v>
      </c>
      <c r="W11" s="36">
        <f>IF(AND($C$11&lt;=W5,$D$11&gt;=W5),'Pond Description'!D30,0)</f>
        <v>0</v>
      </c>
      <c r="X11" s="36">
        <f>IF(AND($C$11&lt;=X5,$D$11&gt;=X5),'Pond Description'!D30,0)</f>
        <v>0</v>
      </c>
      <c r="Y11" s="36">
        <f>IF(AND($C$11&lt;=Y5,$D$11&gt;=Y5),'Pond Description'!D30,0)</f>
        <v>0</v>
      </c>
      <c r="Z11" s="36">
        <f>IF(AND($C$11&lt;=Z5,$D$11&gt;=Z5),'Pond Description'!D30,0)</f>
        <v>0</v>
      </c>
      <c r="AA11" s="36">
        <f>IF(AND($C$11&lt;=AA5,$D$11&gt;=AA5),'Pond Description'!D30,0)</f>
        <v>0</v>
      </c>
      <c r="AB11" s="36">
        <f>IF(AND($C$11&lt;=AB5,$D$11&gt;=AB5),'Pond Description'!D30,0)</f>
        <v>0</v>
      </c>
      <c r="AC11" s="36">
        <f>IF(AND($C$11&lt;=AC5,$D$11&gt;=AC5),'Pond Description'!D30,0)</f>
        <v>0</v>
      </c>
      <c r="AD11" s="36">
        <f>IF(AND($C$11&lt;=AD5,$D$11&gt;=AD5),'Pond Description'!D30,0)</f>
        <v>0</v>
      </c>
      <c r="AE11" s="36">
        <f>IF(AND($C$11&lt;=AE5,$D$11&gt;=AE5),'Pond Description'!D30,0)</f>
        <v>0</v>
      </c>
      <c r="AF11" s="36">
        <f>IF(AND($C$11&lt;=AF5,$D$11&gt;=AF5),'Pond Description'!D30,0)</f>
        <v>0</v>
      </c>
      <c r="AG11" s="36">
        <f>IF(AND($C$11&lt;=AG5,$D$11&gt;=AG5),'Pond Description'!D30,0)</f>
        <v>0</v>
      </c>
      <c r="AH11" s="36">
        <f>IF(AND($C$11&lt;=AH5,$D$11&gt;=AH5),'Pond Description'!D30,0)</f>
        <v>0</v>
      </c>
      <c r="AI11" s="36">
        <f>IF(AND($C$11&lt;=AI5,$D$11&gt;=AI5),'Pond Description'!D30,0)</f>
        <v>0</v>
      </c>
      <c r="AJ11" s="36">
        <f>IF(AND($C$11&lt;=AJ5,$D$11&gt;=AJ5),'Pond Description'!D30,0)</f>
        <v>0</v>
      </c>
      <c r="AK11" s="36">
        <f>IF(AND($C$11&lt;=AK5,$D$11&gt;=AK5),'Pond Description'!D30,0)</f>
        <v>0</v>
      </c>
      <c r="AL11" s="36">
        <f>IF(AND($C$11&lt;=AL5,$D$11&gt;=AL5),'Pond Description'!D30,0)</f>
        <v>0</v>
      </c>
      <c r="AM11" s="36">
        <f>IF(AND($C$11&lt;=AM5,$D$11&gt;=AM5),'Pond Description'!D30,0)</f>
        <v>0</v>
      </c>
      <c r="AN11" s="36">
        <f>IF(AND($C$11&lt;=AN5,$D$11&gt;=AN5),'Pond Description'!D30,0)</f>
        <v>0</v>
      </c>
      <c r="AO11" s="36">
        <f>IF(AND($C$11&lt;=AO5,$D$11&gt;=AO5),'Pond Description'!D30,0)</f>
        <v>0</v>
      </c>
      <c r="AP11" s="36">
        <f>IF(AND($C$11&lt;=AP5,$D$11&gt;=AP5),'Pond Description'!D30,0)</f>
        <v>0</v>
      </c>
      <c r="AQ11" s="36">
        <f>IF(AND($C$11&lt;=AQ5,$D$11&gt;=AQ5),'Pond Description'!D30,0)</f>
        <v>0</v>
      </c>
      <c r="AR11" s="36">
        <f>IF(AND($C$11&lt;=AR5,$D$11&gt;=AR5),'Pond Description'!D30,0)</f>
        <v>0</v>
      </c>
      <c r="AS11" s="37">
        <f>IF(AND($C$11&lt;=AS5,$D$11&gt;=AS5),'Pond Description'!D30,0)</f>
        <v>0</v>
      </c>
      <c r="AT11" s="37">
        <f>IF(AND($C$11&lt;=AT5,$D$11&gt;=AT5),'Pond Description'!D30,0)</f>
        <v>0</v>
      </c>
      <c r="AU11" s="37">
        <f>IF(AND($C$11&lt;=AU5,$D$11&gt;=AU5),'Pond Description'!D30,0)</f>
        <v>0</v>
      </c>
      <c r="AV11" s="37">
        <f>IF(AND($C$11&lt;=AV5,$D$11&gt;=AV5),'Pond Description'!D30,0)</f>
        <v>0</v>
      </c>
      <c r="AW11" s="37">
        <f>IF(AND($C$11&lt;=AW5,$D$11&gt;=AW5),'Pond Description'!D30,0)</f>
        <v>0</v>
      </c>
      <c r="AX11" s="37">
        <f>IF(AND($C$11&lt;=AX5,$D$11&gt;=AX5),'Pond Description'!D30,0)</f>
        <v>0</v>
      </c>
      <c r="AY11" s="37">
        <f>IF(AND($C$11&lt;=AY5,$D$11&gt;=AY5),'Pond Description'!D30,0)</f>
        <v>0</v>
      </c>
      <c r="AZ11" s="37">
        <f>IF(AND($C$11&lt;=AZ5,$D$11&gt;=AZ5),'Pond Description'!D30,0)</f>
        <v>0</v>
      </c>
      <c r="BA11" s="37">
        <f>IF(AND($C$11&lt;=BA5,$D$11&gt;=BA5),'Pond Description'!D30,0)</f>
        <v>0</v>
      </c>
      <c r="BB11" s="37">
        <f>IF(AND($C$11&lt;=BB5,$D$11&gt;=BB5),'Pond Description'!D30,0)</f>
        <v>0</v>
      </c>
      <c r="BC11" s="37">
        <f>IF(AND($C$11&lt;=BC5,$D$11&gt;=BC5),'Pond Description'!D30,0)</f>
        <v>0</v>
      </c>
      <c r="BD11" s="30">
        <f t="shared" si="0"/>
        <v>0</v>
      </c>
    </row>
    <row r="12" spans="2:56" s="1" customFormat="1" ht="16.5" thickBot="1">
      <c r="B12" s="31">
        <v>7</v>
      </c>
      <c r="C12" s="32">
        <v>72.1</v>
      </c>
      <c r="D12" s="33">
        <v>84</v>
      </c>
      <c r="E12" s="34"/>
      <c r="F12" s="35">
        <f>IF(AND(C12&lt;=$F$5,D12&gt;=$F$5),'Pond Description'!D30,0)</f>
        <v>0</v>
      </c>
      <c r="G12" s="36">
        <f>IF(AND(C12&lt;=$G$5,D12&gt;=$G$5),'Pond Description'!D30,0)</f>
        <v>0</v>
      </c>
      <c r="H12" s="36">
        <f>IF(AND(C12&lt;=$H$5,D12&gt;=$H$5),'Pond Description'!D30,0)</f>
        <v>0</v>
      </c>
      <c r="I12" s="36">
        <f>IF(AND(C12&lt;=$I$5,D12&gt;=$I$5),'Pond Description'!D30,0)</f>
        <v>0</v>
      </c>
      <c r="J12" s="36">
        <f>IF(AND(C12&lt;=$J$5,D12&gt;=$J$5),'Pond Description'!D30,0)</f>
        <v>0</v>
      </c>
      <c r="K12" s="36">
        <f>IF(AND(C12&lt;=$K$5,D12&gt;=$K$5),'Pond Description'!D30,0)</f>
        <v>0</v>
      </c>
      <c r="L12" s="36">
        <f>IF(AND(C12&lt;=$L$5,D12&gt;=$L$5),'Pond Description'!D30,0)</f>
        <v>0</v>
      </c>
      <c r="M12" s="36">
        <f>IF(AND(C12&lt;=$M$5,D12&gt;=$M$5),'Pond Description'!D30,0)</f>
        <v>0</v>
      </c>
      <c r="N12" s="36">
        <f>IF(AND($C$12&lt;=N5,$D$12&gt;=N5),'Pond Description'!D30,0)</f>
        <v>0</v>
      </c>
      <c r="O12" s="36">
        <f>IF(AND($C$12&lt;=O5,$D$12&gt;=O5),'Pond Description'!D30,0)</f>
        <v>0</v>
      </c>
      <c r="P12" s="36">
        <f>IF(AND($C$12&lt;=P5,$D$12&gt;=P5),'Pond Description'!D30,0)</f>
        <v>0</v>
      </c>
      <c r="Q12" s="36">
        <f>IF(AND($C$12&lt;=Q5,$D$12&gt;=Q5),'Pond Description'!D30,0)</f>
        <v>0</v>
      </c>
      <c r="R12" s="36">
        <f>IF(AND($C$12&lt;=R5,$D$12&gt;=R5),'Pond Description'!D30,0)</f>
        <v>0</v>
      </c>
      <c r="S12" s="36">
        <f>IF(AND($C$12&lt;=S5,$D$12&gt;=S5),'Pond Description'!D30,0)</f>
        <v>0</v>
      </c>
      <c r="T12" s="36">
        <f>IF(AND($C$12&lt;=T5,$D$12&gt;=T5),'Pond Description'!D30,0)</f>
        <v>0</v>
      </c>
      <c r="U12" s="36">
        <f>IF(AND($C$12&lt;=U5,$D$12&gt;=U5),'Pond Description'!D30,0)</f>
        <v>0</v>
      </c>
      <c r="V12" s="36">
        <f>IF(AND($C$12&lt;=V5,$D$12&gt;=V5),'Pond Description'!D30,0)</f>
        <v>0</v>
      </c>
      <c r="W12" s="36">
        <f>IF(AND($C$12&lt;=W5,$D$12&gt;=W5),'Pond Description'!D30,0)</f>
        <v>0</v>
      </c>
      <c r="X12" s="36">
        <f>IF(AND($C$12&lt;=X5,$D$12&gt;=X5),'Pond Description'!D30,0)</f>
        <v>0</v>
      </c>
      <c r="Y12" s="36">
        <f>IF(AND($C$12&lt;=Y5,$D$12&gt;=Y5),'Pond Description'!D30,0)</f>
        <v>0</v>
      </c>
      <c r="Z12" s="36">
        <f>IF(AND($C$12&lt;=Z5,$D$12&gt;=Z5),'Pond Description'!D30,0)</f>
        <v>0</v>
      </c>
      <c r="AA12" s="36">
        <f>IF(AND($C$12&lt;=AA5,$D$12&gt;=AA5),'Pond Description'!D30,0)</f>
        <v>0</v>
      </c>
      <c r="AB12" s="36">
        <f>IF(AND($C$12&lt;=AB5,$D$12&gt;=AB5),'Pond Description'!D30,0)</f>
        <v>0</v>
      </c>
      <c r="AC12" s="36">
        <f>IF(AND($C$12&lt;=AC5,$D$12&gt;=AC5),'Pond Description'!D30,0)</f>
        <v>0</v>
      </c>
      <c r="AD12" s="36">
        <f>IF(AND($C$12&lt;=AD5,$D$12&gt;=AD5),'Pond Description'!D30,0)</f>
        <v>0</v>
      </c>
      <c r="AE12" s="36">
        <f>IF(AND($C$12&lt;=AE5,$D$12&gt;=AE5),'Pond Description'!D30,0)</f>
        <v>0</v>
      </c>
      <c r="AF12" s="36">
        <f>IF(AND($C$12&lt;=AF5,$D$12&gt;=AF5),'Pond Description'!D30,0)</f>
        <v>0</v>
      </c>
      <c r="AG12" s="36">
        <f>IF(AND($C$12&lt;=AG5,$D$12&gt;=AG5),'Pond Description'!D30,0)</f>
        <v>0</v>
      </c>
      <c r="AH12" s="36">
        <f>IF(AND($C$12&lt;=AH5,$D$12&gt;=AH5),'Pond Description'!D30,0)</f>
        <v>0</v>
      </c>
      <c r="AI12" s="36">
        <f>IF(AND($C$12&lt;=AI5,$D$12&gt;=AI5),'Pond Description'!D30,0)</f>
        <v>0</v>
      </c>
      <c r="AJ12" s="36">
        <f>IF(AND($C$12&lt;=AJ5,$D$12&gt;=AJ5),'Pond Description'!D30,0)</f>
        <v>0</v>
      </c>
      <c r="AK12" s="36">
        <f>IF(AND($C$12&lt;=AK5,$D$12&gt;=AK5),'Pond Description'!D30,0)</f>
        <v>0</v>
      </c>
      <c r="AL12" s="36">
        <f>IF(AND($C$12&lt;=AL5,$D$12&gt;=AL5),'Pond Description'!D30,0)</f>
        <v>0</v>
      </c>
      <c r="AM12" s="36">
        <f>IF(AND($C$12&lt;=AM5,$D$12&gt;=AM5),'Pond Description'!D30,0)</f>
        <v>0</v>
      </c>
      <c r="AN12" s="36">
        <f>IF(AND($C$12&lt;=AN5,$D$12&gt;=AN5),'Pond Description'!D30,0)</f>
        <v>0</v>
      </c>
      <c r="AO12" s="36">
        <f>IF(AND($C$12&lt;=AO5,$D$12&gt;=AO5),'Pond Description'!D30,0)</f>
        <v>0</v>
      </c>
      <c r="AP12" s="36">
        <f>IF(AND($C$12&lt;=AP5,$D$12&gt;=AP5),'Pond Description'!D30,0)</f>
        <v>0</v>
      </c>
      <c r="AQ12" s="36">
        <f>IF(AND($C$12&lt;=AQ5,$D$12&gt;=AQ5),'Pond Description'!D30,0)</f>
        <v>0</v>
      </c>
      <c r="AR12" s="36">
        <f>IF(AND($C$12&lt;=AR5,$D$12&gt;=AR5),'Pond Description'!D30,0)</f>
        <v>0</v>
      </c>
      <c r="AS12" s="37">
        <f>IF(AND($C$12&lt;=AS5,$D$12&gt;=AS5),'Pond Description'!D30,0)</f>
        <v>0</v>
      </c>
      <c r="AT12" s="37">
        <f>IF(AND($C$12&lt;=AT5,$D$12&gt;=AT5),'Pond Description'!D30,0)</f>
        <v>0</v>
      </c>
      <c r="AU12" s="37">
        <f>IF(AND($C$12&lt;=AU5,$D$12&gt;=AU5),'Pond Description'!D30,0)</f>
        <v>0</v>
      </c>
      <c r="AV12" s="37">
        <f>IF(AND($C$12&lt;=AV5,$D$12&gt;=AV5),'Pond Description'!D30,0)</f>
        <v>0</v>
      </c>
      <c r="AW12" s="37">
        <f>IF(AND($C$12&lt;=AW5,$D$12&gt;=AW5),'Pond Description'!D30,0)</f>
        <v>0</v>
      </c>
      <c r="AX12" s="37">
        <f>IF(AND($C$12&lt;=AX5,$D$12&gt;=AX5),'Pond Description'!D30,0)</f>
        <v>0</v>
      </c>
      <c r="AY12" s="37">
        <f>IF(AND($C$12&lt;=AY5,$D$12&gt;=AY5),'Pond Description'!D30,0)</f>
        <v>0</v>
      </c>
      <c r="AZ12" s="37">
        <f>IF(AND($C$12&lt;=AZ5,$D$12&gt;=AZ5),'Pond Description'!D30,0)</f>
        <v>0</v>
      </c>
      <c r="BA12" s="37">
        <f>IF(AND($C$12&lt;=BA5,$D$12&gt;=BA5),'Pond Description'!D30,0)</f>
        <v>0</v>
      </c>
      <c r="BB12" s="37">
        <f>IF(AND($C$12&lt;=BB5,$D$12&gt;=BB5),'Pond Description'!D30,0)</f>
        <v>0</v>
      </c>
      <c r="BC12" s="37">
        <f>IF(AND($C$12&lt;=BC5,$D$12&gt;=BC5),'Pond Description'!D30,0)</f>
        <v>0</v>
      </c>
      <c r="BD12" s="30">
        <f t="shared" si="0"/>
        <v>0</v>
      </c>
    </row>
    <row r="13" spans="2:56" s="1" customFormat="1" ht="16.5" thickBot="1">
      <c r="B13" s="31">
        <v>8</v>
      </c>
      <c r="C13" s="32">
        <v>84.1</v>
      </c>
      <c r="D13" s="33">
        <v>96</v>
      </c>
      <c r="E13" s="34"/>
      <c r="F13" s="35">
        <f>IF(AND(C13&lt;=$F$5,D13&gt;=$F$5),'Pond Description'!D30,0)</f>
        <v>0</v>
      </c>
      <c r="G13" s="36">
        <f>IF(AND(C13&lt;=$G$5,D13&gt;=$G$5),'Pond Description'!D30,0)</f>
        <v>0</v>
      </c>
      <c r="H13" s="36">
        <f>IF(AND(C13&lt;=$H$5,D13&gt;=$H$5),'Pond Description'!D30,0)</f>
        <v>0</v>
      </c>
      <c r="I13" s="36">
        <f>IF(AND(C13&lt;=$I$5,D13&gt;=$I$5),'Pond Description'!D30,0)</f>
        <v>0</v>
      </c>
      <c r="J13" s="36">
        <f>IF(AND(C13&lt;=$J$5,D13&gt;=$J$5),'Pond Description'!D30,0)</f>
        <v>0</v>
      </c>
      <c r="K13" s="36">
        <f>IF(AND(C13&lt;=$K$5,D13&gt;=$K$5),'Pond Description'!D30,0)</f>
        <v>0</v>
      </c>
      <c r="L13" s="36">
        <f>IF(AND(C13&lt;=$L$5,D13&gt;=$L$5),'Pond Description'!D30,0)</f>
        <v>0</v>
      </c>
      <c r="M13" s="36">
        <f>IF(AND(C13&lt;=$M$5,D13&gt;=$M$5),'Pond Description'!D30,0)</f>
        <v>0</v>
      </c>
      <c r="N13" s="36">
        <f>IF(AND($C$13&lt;=N5,$D$13&gt;=N5),'Pond Description'!D30,0)</f>
        <v>0</v>
      </c>
      <c r="O13" s="36">
        <f>IF(AND($C$13&lt;=O5,$D$13&gt;=O5),'Pond Description'!D30,0)</f>
        <v>0</v>
      </c>
      <c r="P13" s="36">
        <f>IF(AND($C$13&lt;=P5,$D$13&gt;=P5),'Pond Description'!D30,0)</f>
        <v>0</v>
      </c>
      <c r="Q13" s="36">
        <f>IF(AND($C$13&lt;=Q5,$D$13&gt;=Q5),'Pond Description'!D30,0)</f>
        <v>0</v>
      </c>
      <c r="R13" s="36">
        <f>IF(AND($C$13&lt;=R5,$D$13&gt;=R5),'Pond Description'!D30,0)</f>
        <v>0</v>
      </c>
      <c r="S13" s="36">
        <f>IF(AND($C$13&lt;=S5,$D$13&gt;=S5),'Pond Description'!D30,0)</f>
        <v>0</v>
      </c>
      <c r="T13" s="36">
        <f>IF(AND($C$13&lt;=T5,$D$13&gt;=T5),'Pond Description'!D30,0)</f>
        <v>0</v>
      </c>
      <c r="U13" s="36">
        <f>IF(AND($C$13&lt;=U5,$D$13&gt;=U5),'Pond Description'!D30,0)</f>
        <v>0</v>
      </c>
      <c r="V13" s="36">
        <f>IF(AND($C$13&lt;=V5,$D$13&gt;=V5),'Pond Description'!D30,0)</f>
        <v>0</v>
      </c>
      <c r="W13" s="36">
        <f>IF(AND($C$13&lt;=W5,$D$13&gt;=W5),'Pond Description'!D30,0)</f>
        <v>0</v>
      </c>
      <c r="X13" s="36">
        <f>IF(AND($C$13&lt;=X5,$D$13&gt;=X5),'Pond Description'!D30,0)</f>
        <v>0</v>
      </c>
      <c r="Y13" s="36">
        <f>IF(AND($C$13&lt;=Y5,$D$13&gt;=Y5),'Pond Description'!D30,0)</f>
        <v>0</v>
      </c>
      <c r="Z13" s="36">
        <f>IF(AND($C$13&lt;=Z5,$D$13&gt;=Z5),'Pond Description'!D30,0)</f>
        <v>0</v>
      </c>
      <c r="AA13" s="36">
        <f>IF(AND($C$13&lt;=AA5,$D$13&gt;=AA5),'Pond Description'!D30,0)</f>
        <v>0</v>
      </c>
      <c r="AB13" s="36">
        <f>IF(AND($C$13&lt;=AB5,$D$13&gt;=AB5),'Pond Description'!D30,0)</f>
        <v>0</v>
      </c>
      <c r="AC13" s="36">
        <f>IF(AND($C$13&lt;=AC5,$D$13&gt;=AC5),'Pond Description'!D30,0)</f>
        <v>0</v>
      </c>
      <c r="AD13" s="36">
        <f>IF(AND($C$13&lt;=AD5,$D$13&gt;=AD5),'Pond Description'!D30,0)</f>
        <v>0</v>
      </c>
      <c r="AE13" s="36">
        <f>IF(AND($C$13&lt;=AE5,$D$13&gt;=AE5),'Pond Description'!D30,0)</f>
        <v>0</v>
      </c>
      <c r="AF13" s="36">
        <f>IF(AND($C$13&lt;=AF5,$D$13&gt;=AF5),'Pond Description'!D30,0)</f>
        <v>0</v>
      </c>
      <c r="AG13" s="36">
        <f>IF(AND($C$13&lt;=AG5,$D$13&gt;=AG5),'Pond Description'!D30,0)</f>
        <v>0</v>
      </c>
      <c r="AH13" s="36">
        <f>IF(AND($C$13&lt;=AH5,$D$13&gt;=AH5),'Pond Description'!D30,0)</f>
        <v>0</v>
      </c>
      <c r="AI13" s="36">
        <f>IF(AND($C$13&lt;=AI5,$D$13&gt;=AI5),'Pond Description'!D30,0)</f>
        <v>0</v>
      </c>
      <c r="AJ13" s="36">
        <f>IF(AND($C$13&lt;=AJ5,$D$13&gt;=AJ5),'Pond Description'!D30,0)</f>
        <v>0</v>
      </c>
      <c r="AK13" s="36">
        <f>IF(AND($C$13&lt;=AK5,$D$13&gt;=AK5),'Pond Description'!D30,0)</f>
        <v>0</v>
      </c>
      <c r="AL13" s="36">
        <f>IF(AND($C$13&lt;=AL5,$D$13&gt;=AL5),'Pond Description'!D30,0)</f>
        <v>0</v>
      </c>
      <c r="AM13" s="36">
        <f>IF(AND($C$13&lt;=AM5,$D$13&gt;=AM5),'Pond Description'!D30,0)</f>
        <v>0</v>
      </c>
      <c r="AN13" s="36">
        <f>IF(AND($C$13&lt;=AN5,$D$13&gt;=AN5),'Pond Description'!D30,0)</f>
        <v>0</v>
      </c>
      <c r="AO13" s="36">
        <f>IF(AND($C$13&lt;=AO5,$D$13&gt;=AO5),'Pond Description'!D30,0)</f>
        <v>0</v>
      </c>
      <c r="AP13" s="36">
        <f>IF(AND($C$13&lt;=AP5,$D$13&gt;=AP5),'Pond Description'!D30,0)</f>
        <v>0</v>
      </c>
      <c r="AQ13" s="36">
        <f>IF(AND($C$13&lt;=AQ5,$D$13&gt;=AQ5),'Pond Description'!D30,0)</f>
        <v>0</v>
      </c>
      <c r="AR13" s="36">
        <f>IF(AND($C$13&lt;=AR5,$D$13&gt;=AR5),'Pond Description'!D30,0)</f>
        <v>0</v>
      </c>
      <c r="AS13" s="37">
        <f>IF(AND($C$13&lt;=AS5,$D$13&gt;=AS5),'Pond Description'!D30,0)</f>
        <v>0</v>
      </c>
      <c r="AT13" s="37">
        <f>IF(AND($C$13&lt;=AT5,$D$13&gt;=AT5),'Pond Description'!D30,0)</f>
        <v>0</v>
      </c>
      <c r="AU13" s="37">
        <f>IF(AND($C$13&lt;=AU5,$D$13&gt;=AU5),'Pond Description'!D30,0)</f>
        <v>0</v>
      </c>
      <c r="AV13" s="37">
        <f>IF(AND($C$13&lt;=AV5,$D$13&gt;=AV5),'Pond Description'!D30,0)</f>
        <v>0</v>
      </c>
      <c r="AW13" s="37">
        <f>IF(AND($C$13&lt;=AW5,$D$13&gt;=AW5),'Pond Description'!D30,0)</f>
        <v>0</v>
      </c>
      <c r="AX13" s="37">
        <f>IF(AND($C$13&lt;=AX5,$D$13&gt;=AX5),'Pond Description'!D30,0)</f>
        <v>0</v>
      </c>
      <c r="AY13" s="37">
        <f>IF(AND($C$13&lt;=AY5,$D$13&gt;=AY5),'Pond Description'!D30,0)</f>
        <v>0</v>
      </c>
      <c r="AZ13" s="37">
        <f>IF(AND($C$13&lt;=AZ5,$D$13&gt;=AZ5),'Pond Description'!D30,0)</f>
        <v>0</v>
      </c>
      <c r="BA13" s="37">
        <f>IF(AND($C$13&lt;=BA5,$D$13&gt;=BA5),'Pond Description'!D30,0)</f>
        <v>0</v>
      </c>
      <c r="BB13" s="37">
        <f>IF(AND($C$13&lt;=BB5,$D$13&gt;=BB5),'Pond Description'!D30,0)</f>
        <v>0</v>
      </c>
      <c r="BC13" s="37">
        <f>IF(AND($C$13&lt;=BC5,$D$13&gt;=BC5),'Pond Description'!D30,0)</f>
        <v>0</v>
      </c>
      <c r="BD13" s="30">
        <f t="shared" si="0"/>
        <v>0</v>
      </c>
    </row>
    <row r="14" spans="2:56" s="1" customFormat="1" ht="16.5" thickBot="1">
      <c r="B14" s="31">
        <v>9</v>
      </c>
      <c r="C14" s="32">
        <v>96.1</v>
      </c>
      <c r="D14" s="33">
        <v>108</v>
      </c>
      <c r="E14" s="34"/>
      <c r="F14" s="35">
        <f>IF(AND(C14&lt;=$F$5,D14&gt;=$F$5),'Pond Description'!D30,0)</f>
        <v>0</v>
      </c>
      <c r="G14" s="36">
        <f>IF(AND(C14&lt;=$G$5,D14&gt;=$G$5),'Pond Description'!D30,0)</f>
        <v>0</v>
      </c>
      <c r="H14" s="36">
        <f>IF(AND(C14&lt;=$H$5,D14&gt;=$H$5),'Pond Description'!D30,0)</f>
        <v>0</v>
      </c>
      <c r="I14" s="36">
        <f>IF(AND(C14&lt;=$I$5,D14&gt;=$I$5),'Pond Description'!D30,0)</f>
        <v>0</v>
      </c>
      <c r="J14" s="36">
        <f>IF(AND(C14&lt;=$J$5,D14&gt;=$J$5),'Pond Description'!D30,0)</f>
        <v>0</v>
      </c>
      <c r="K14" s="36">
        <f>IF(AND(C14&lt;=$K$5,D14&gt;=$K$5),'Pond Description'!D30,0)</f>
        <v>0</v>
      </c>
      <c r="L14" s="36">
        <f>IF(AND(C14&lt;=$L$5,D14&gt;=$L$5),'Pond Description'!D30,0)</f>
        <v>0</v>
      </c>
      <c r="M14" s="36">
        <f>IF(AND(C14&lt;=$M$5,D14&gt;=$M$5),'Pond Description'!D30,0)</f>
        <v>0</v>
      </c>
      <c r="N14" s="36">
        <f>IF(AND($C$14&lt;=N5,$D$14&gt;=N5),'Pond Description'!D30,0)</f>
        <v>0</v>
      </c>
      <c r="O14" s="36">
        <f>IF(AND($C$14&lt;=O5,$D$14&gt;=O5),'Pond Description'!D30,0)</f>
        <v>0</v>
      </c>
      <c r="P14" s="36">
        <f>IF(AND($C$14&lt;=P5,$D$14&gt;=P5),'Pond Description'!D30,0)</f>
        <v>0</v>
      </c>
      <c r="Q14" s="36">
        <f>IF(AND($C$14&lt;=Q5,$D$14&gt;=Q5),'Pond Description'!D30,0)</f>
        <v>0</v>
      </c>
      <c r="R14" s="36">
        <f>IF(AND($C$14&lt;=R5,$D$14&gt;=R5),'Pond Description'!D30,0)</f>
        <v>0</v>
      </c>
      <c r="S14" s="36">
        <f>IF(AND($C$14&lt;=S5,$D$14&gt;=S5),'Pond Description'!D30,0)</f>
        <v>0</v>
      </c>
      <c r="T14" s="36">
        <f>IF(AND($C$14&lt;=T5,$D$14&gt;=T5),'Pond Description'!D30,0)</f>
        <v>0</v>
      </c>
      <c r="U14" s="36">
        <f>IF(AND($C$14&lt;=U5,$D$14&gt;=U5),'Pond Description'!D30,0)</f>
        <v>0</v>
      </c>
      <c r="V14" s="36">
        <f>IF(AND($C$14&lt;=V5,$D$14&gt;=V5),'Pond Description'!D30,0)</f>
        <v>0</v>
      </c>
      <c r="W14" s="36">
        <f>IF(AND($C$14&lt;=W5,$D$14&gt;=W5),'Pond Description'!D30,0)</f>
        <v>0</v>
      </c>
      <c r="X14" s="36">
        <f>IF(AND($C$14&lt;=X5,$D$14&gt;=X5),'Pond Description'!D30,0)</f>
        <v>0</v>
      </c>
      <c r="Y14" s="36">
        <f>IF(AND($C$14&lt;=Y5,$D$14&gt;=Y5),'Pond Description'!D30,0)</f>
        <v>0</v>
      </c>
      <c r="Z14" s="36">
        <f>IF(AND($C$14&lt;=Z5,$D$14&gt;=Z5),'Pond Description'!D30,0)</f>
        <v>0</v>
      </c>
      <c r="AA14" s="36">
        <f>IF(AND($C$14&lt;=AA5,$D$14&gt;=AA5),'Pond Description'!D30,0)</f>
        <v>0</v>
      </c>
      <c r="AB14" s="36">
        <f>IF(AND($C$14&lt;=AB5,$D$14&gt;=AB5),'Pond Description'!D30,0)</f>
        <v>0</v>
      </c>
      <c r="AC14" s="36">
        <f>IF(AND($C$14&lt;=AC5,$D$14&gt;=AC5),'Pond Description'!D30,0)</f>
        <v>0</v>
      </c>
      <c r="AD14" s="36">
        <f>IF(AND($C$14&lt;=AD5,$D$14&gt;=AD5),'Pond Description'!D30,0)</f>
        <v>0</v>
      </c>
      <c r="AE14" s="36">
        <f>IF(AND($C$14&lt;=AE5,$D$14&gt;=AE5),'Pond Description'!D30,0)</f>
        <v>0</v>
      </c>
      <c r="AF14" s="36">
        <f>IF(AND($C$14&lt;=AF5,$D$14&gt;=AF5),'Pond Description'!D30,0)</f>
        <v>0</v>
      </c>
      <c r="AG14" s="36">
        <f>IF(AND($C$14&lt;=AG5,$D$14&gt;=AG5),'Pond Description'!D30,0)</f>
        <v>0</v>
      </c>
      <c r="AH14" s="36">
        <f>IF(AND($C$14&lt;=AH5,$D$14&gt;=AH5),'Pond Description'!D30,0)</f>
        <v>0</v>
      </c>
      <c r="AI14" s="36">
        <f>IF(AND($C$14&lt;=AI5,$D$14&gt;=AI5),'Pond Description'!D30,0)</f>
        <v>0</v>
      </c>
      <c r="AJ14" s="36">
        <f>IF(AND($C$14&lt;=AJ5,$D$14&gt;=AJ5),'Pond Description'!D30,0)</f>
        <v>0</v>
      </c>
      <c r="AK14" s="36">
        <f>IF(AND($C$14&lt;=AK5,$D$14&gt;=AK5),'Pond Description'!D30,0)</f>
        <v>0</v>
      </c>
      <c r="AL14" s="36">
        <f>IF(AND($C$14&lt;=AL5,$D$14&gt;=AL5),'Pond Description'!D30,0)</f>
        <v>0</v>
      </c>
      <c r="AM14" s="36">
        <f>IF(AND($C$14&lt;=AM5,$D$14&gt;=AM5),'Pond Description'!D30,0)</f>
        <v>0</v>
      </c>
      <c r="AN14" s="36">
        <f>IF(AND($C$14&lt;=AN5,$D$14&gt;=AN5),'Pond Description'!D30,0)</f>
        <v>0</v>
      </c>
      <c r="AO14" s="36">
        <f>IF(AND($C$14&lt;=AO5,$D$14&gt;=AO5),'Pond Description'!D30,0)</f>
        <v>0</v>
      </c>
      <c r="AP14" s="36">
        <f>IF(AND($C$14&lt;=AP5,$D$14&gt;=AP5),'Pond Description'!D30,0)</f>
        <v>0</v>
      </c>
      <c r="AQ14" s="36">
        <f>IF(AND($C$14&lt;=AQ5,$D$14&gt;=AQ5),'Pond Description'!D30,0)</f>
        <v>0</v>
      </c>
      <c r="AR14" s="36">
        <f>IF(AND($C$14&lt;=AR5,$D$14&gt;=AR5),'Pond Description'!D30,0)</f>
        <v>0</v>
      </c>
      <c r="AS14" s="37">
        <f>IF(AND($C$14&lt;=AS5,$D$14&gt;=AS5),'Pond Description'!D30,0)</f>
        <v>0</v>
      </c>
      <c r="AT14" s="37">
        <f>IF(AND($C$14&lt;=AT5,$D$14&gt;=AT5),'Pond Description'!D30,0)</f>
        <v>0</v>
      </c>
      <c r="AU14" s="37">
        <f>IF(AND($C$14&lt;=AU5,$D$14&gt;=AU5),'Pond Description'!D30,0)</f>
        <v>0</v>
      </c>
      <c r="AV14" s="37">
        <f>IF(AND($C$14&lt;=AV5,$D$14&gt;=AV5),'Pond Description'!D30,0)</f>
        <v>0</v>
      </c>
      <c r="AW14" s="37">
        <f>IF(AND($C$14&lt;=AW5,$D$14&gt;=AW5),'Pond Description'!D30,0)</f>
        <v>0</v>
      </c>
      <c r="AX14" s="37">
        <f>IF(AND($C$14&lt;=AX5,$D$14&gt;=AX5),'Pond Description'!D30,0)</f>
        <v>0</v>
      </c>
      <c r="AY14" s="37">
        <f>IF(AND($C$14&lt;=AY5,$D$14&gt;=AY5),'Pond Description'!D30,0)</f>
        <v>0</v>
      </c>
      <c r="AZ14" s="37">
        <f>IF(AND($C$14&lt;=AZ5,$D$14&gt;=AZ5),'Pond Description'!D30,0)</f>
        <v>0</v>
      </c>
      <c r="BA14" s="37">
        <f>IF(AND($C$14&lt;=BA5,$D$14&gt;=BA5),'Pond Description'!D30,0)</f>
        <v>0</v>
      </c>
      <c r="BB14" s="37">
        <f>IF(AND($C$14&lt;=BB5,$D$14&gt;=BB5),'Pond Description'!D30,0)</f>
        <v>0</v>
      </c>
      <c r="BC14" s="37">
        <f>IF(AND($C$14&lt;=BC5,$D$14&gt;=BC5),'Pond Description'!D30,0)</f>
        <v>0</v>
      </c>
      <c r="BD14" s="30">
        <f t="shared" si="0"/>
        <v>0</v>
      </c>
    </row>
    <row r="15" spans="2:56" s="1" customFormat="1" ht="16.5" thickBot="1">
      <c r="B15" s="31">
        <v>10</v>
      </c>
      <c r="C15" s="32">
        <v>108.1</v>
      </c>
      <c r="D15" s="33">
        <v>120</v>
      </c>
      <c r="E15" s="34"/>
      <c r="F15" s="35">
        <f>IF(AND(C15&lt;=$F$5,D15&gt;=$F$5),'Pond Description'!D30,0)</f>
        <v>0</v>
      </c>
      <c r="G15" s="36">
        <f>IF(AND(C15&lt;=$G$5,D15&gt;=$G$5),'Pond Description'!D30,0)</f>
        <v>0</v>
      </c>
      <c r="H15" s="36">
        <f>IF(AND(C15&lt;=$H$5,D15&gt;=$H$5),'Pond Description'!D30,0)</f>
        <v>0</v>
      </c>
      <c r="I15" s="36">
        <f>IF(AND(C15&lt;=$I$5,D15&gt;=$I$5),'Pond Description'!D30,0)</f>
        <v>0</v>
      </c>
      <c r="J15" s="36">
        <f>IF(AND(C15&lt;=$J$5,D15&gt;=$J$5),'Pond Description'!D30,0)</f>
        <v>0</v>
      </c>
      <c r="K15" s="36">
        <f>IF(AND(C15&lt;=$K$5,D15&gt;=$K$5),'Pond Description'!D30,0)</f>
        <v>0</v>
      </c>
      <c r="L15" s="36">
        <f>IF(AND(C15&lt;=$L$5,D15&gt;=$L$5),'Pond Description'!D30,0)</f>
        <v>0</v>
      </c>
      <c r="M15" s="36">
        <f>IF(AND(C15&lt;=$M$5,D15&gt;=$M$5),'Pond Description'!D30,0)</f>
        <v>0</v>
      </c>
      <c r="N15" s="36">
        <f>IF(AND($C$15&lt;=N5,$D$15&gt;=N5),'Pond Description'!D30,0)</f>
        <v>0</v>
      </c>
      <c r="O15" s="36">
        <f>IF(AND($C$15&lt;=O5,$D$15&gt;=O5),'Pond Description'!D30,0)</f>
        <v>0</v>
      </c>
      <c r="P15" s="36">
        <f>IF(AND($C$15&lt;=P5,$D$15&gt;=P5),'Pond Description'!D30,0)</f>
        <v>0</v>
      </c>
      <c r="Q15" s="36">
        <f>IF(AND($C$15&lt;=Q5,$D$15&gt;=Q5),'Pond Description'!D30,0)</f>
        <v>0</v>
      </c>
      <c r="R15" s="36">
        <f>IF(AND($C$15&lt;=R5,$D$15&gt;=R5),'Pond Description'!D30,0)</f>
        <v>0</v>
      </c>
      <c r="S15" s="36">
        <f>IF(AND($C$15&lt;=S5,$D$15&gt;=S5),'Pond Description'!D30,0)</f>
        <v>0</v>
      </c>
      <c r="T15" s="36">
        <f>IF(AND($C$15&lt;=T5,$D$15&gt;=T5),'Pond Description'!D30,0)</f>
        <v>0</v>
      </c>
      <c r="U15" s="36">
        <f>IF(AND($C$15&lt;=U5,$D$15&gt;=U5),'Pond Description'!D30,0)</f>
        <v>0</v>
      </c>
      <c r="V15" s="36">
        <f>IF(AND($C$15&lt;=V5,$D$15&gt;=V5),'Pond Description'!D30,0)</f>
        <v>0</v>
      </c>
      <c r="W15" s="36">
        <f>IF(AND($C$15&lt;=W5,$D$15&gt;=W5),'Pond Description'!D30,0)</f>
        <v>0</v>
      </c>
      <c r="X15" s="36">
        <f>IF(AND($C$15&lt;=X5,$D$15&gt;=X5),'Pond Description'!D30,0)</f>
        <v>0</v>
      </c>
      <c r="Y15" s="36">
        <f>IF(AND($C$15&lt;=Y5,$D$15&gt;=Y5),'Pond Description'!D30,0)</f>
        <v>0</v>
      </c>
      <c r="Z15" s="36">
        <f>IF(AND($C$15&lt;=Z5,$D$15&gt;=Z5),'Pond Description'!D30,0)</f>
        <v>0</v>
      </c>
      <c r="AA15" s="36">
        <f>IF(AND($C$15&lt;=AA5,$D$15&gt;=AA5),'Pond Description'!D30,0)</f>
        <v>0</v>
      </c>
      <c r="AB15" s="36">
        <f>IF(AND($C$15&lt;=AB5,$D$15&gt;=AB5),'Pond Description'!D30,0)</f>
        <v>0</v>
      </c>
      <c r="AC15" s="36">
        <f>IF(AND($C$15&lt;=AC5,$D$15&gt;=AC5),'Pond Description'!D30,0)</f>
        <v>0</v>
      </c>
      <c r="AD15" s="36">
        <f>IF(AND($C$15&lt;=AD5,$D$15&gt;=AD5),'Pond Description'!D30,0)</f>
        <v>0</v>
      </c>
      <c r="AE15" s="36">
        <f>IF(AND($C$15&lt;=AE5,$D$15&gt;=AE5),'Pond Description'!D30,0)</f>
        <v>0</v>
      </c>
      <c r="AF15" s="36">
        <f>IF(AND($C$15&lt;=AF5,$D$15&gt;=AF5),'Pond Description'!D30,0)</f>
        <v>0</v>
      </c>
      <c r="AG15" s="36">
        <f>IF(AND($C$15&lt;=AG5,$D$15&gt;=AG5),'Pond Description'!D30,0)</f>
        <v>0</v>
      </c>
      <c r="AH15" s="36">
        <f>IF(AND($C$15&lt;=AH5,$D$15&gt;=AH5),'Pond Description'!D30,0)</f>
        <v>0</v>
      </c>
      <c r="AI15" s="36">
        <f>IF(AND($C$15&lt;=AI5,$D$15&gt;=AI5),'Pond Description'!D30,0)</f>
        <v>0</v>
      </c>
      <c r="AJ15" s="36">
        <f>IF(AND($C$15&lt;=AJ5,$D$15&gt;=AJ5),'Pond Description'!D30,0)</f>
        <v>0</v>
      </c>
      <c r="AK15" s="36">
        <f>IF(AND($C$15&lt;=AK5,$D$15&gt;=AK5),'Pond Description'!D30,0)</f>
        <v>0</v>
      </c>
      <c r="AL15" s="36">
        <f>IF(AND($C$15&lt;=AL5,$D$15&gt;=AL5),'Pond Description'!D30,0)</f>
        <v>0</v>
      </c>
      <c r="AM15" s="36">
        <f>IF(AND($C$15&lt;=AM5,$D$15&gt;=AM5),'Pond Description'!D30,0)</f>
        <v>0</v>
      </c>
      <c r="AN15" s="36">
        <f>IF(AND($C$15&lt;=AN5,$D$15&gt;=AN5),'Pond Description'!D30,0)</f>
        <v>0</v>
      </c>
      <c r="AO15" s="36">
        <f>IF(AND($C$15&lt;=AO5,$D$15&gt;=AO5),'Pond Description'!D30,0)</f>
        <v>0</v>
      </c>
      <c r="AP15" s="36">
        <f>IF(AND($C$15&lt;=AP5,$D$15&gt;=AP5),'Pond Description'!D30,0)</f>
        <v>0</v>
      </c>
      <c r="AQ15" s="36">
        <f>IF(AND($C$15&lt;=AQ5,$D$15&gt;=AQ5),'Pond Description'!D30,0)</f>
        <v>0</v>
      </c>
      <c r="AR15" s="36">
        <f>IF(AND($C$15&lt;=AR5,$D$15&gt;=AR5),'Pond Description'!D30,0)</f>
        <v>0</v>
      </c>
      <c r="AS15" s="37">
        <f>IF(AND($C$15&lt;=AS5,$D$15&gt;=AS5),'Pond Description'!D30,0)</f>
        <v>0</v>
      </c>
      <c r="AT15" s="37">
        <f>IF(AND($C$15&lt;=AT5,$D$15&gt;=AT5),'Pond Description'!D30,0)</f>
        <v>0</v>
      </c>
      <c r="AU15" s="37">
        <f>IF(AND($C$15&lt;=AU5,$D$15&gt;=AU5),'Pond Description'!D30,0)</f>
        <v>0</v>
      </c>
      <c r="AV15" s="37">
        <f>IF(AND($C$15&lt;=AV5,$D$15&gt;=AV5),'Pond Description'!D30,0)</f>
        <v>0</v>
      </c>
      <c r="AW15" s="37">
        <f>IF(AND($C$15&lt;=AW5,$D$15&gt;=AW5),'Pond Description'!D30,0)</f>
        <v>0</v>
      </c>
      <c r="AX15" s="37">
        <f>IF(AND($C$15&lt;=AX5,$D$15&gt;=AX5),'Pond Description'!D30,0)</f>
        <v>0</v>
      </c>
      <c r="AY15" s="37">
        <f>IF(AND($C$15&lt;=AY5,$D$15&gt;=AY5),'Pond Description'!D30,0)</f>
        <v>0</v>
      </c>
      <c r="AZ15" s="37">
        <f>IF(AND($C$15&lt;=AZ5,$D$15&gt;=AZ5),'Pond Description'!D30,0)</f>
        <v>0</v>
      </c>
      <c r="BA15" s="37">
        <f>IF(AND($C$15&lt;=BA5,$D$15&gt;=BA5),'Pond Description'!D30,0)</f>
        <v>0</v>
      </c>
      <c r="BB15" s="37">
        <f>IF(AND($C$15&lt;=BB5,$D$15&gt;=BB5),'Pond Description'!D30,0)</f>
        <v>0</v>
      </c>
      <c r="BC15" s="37">
        <f>IF(AND($C$15&lt;=BC5,$D$15&gt;=BC5),'Pond Description'!D30,0)</f>
        <v>0</v>
      </c>
      <c r="BD15" s="30">
        <f t="shared" si="0"/>
        <v>0</v>
      </c>
    </row>
    <row r="16" spans="2:56" s="1" customFormat="1" ht="16.5" thickBot="1">
      <c r="B16" s="31">
        <v>11</v>
      </c>
      <c r="C16" s="32">
        <v>120.1</v>
      </c>
      <c r="D16" s="33">
        <v>132</v>
      </c>
      <c r="E16" s="34"/>
      <c r="F16" s="35">
        <f>IF(AND(C16&lt;=$F$5,D16&gt;=$F$5),'Pond Description'!D30,0)</f>
        <v>0</v>
      </c>
      <c r="G16" s="36">
        <f>IF(AND(C16&lt;=$G$5,D16&gt;=$G$5),'Pond Description'!D30,0)</f>
        <v>0</v>
      </c>
      <c r="H16" s="36">
        <f>IF(AND(C16&lt;=$H$5,D16&gt;=$H$5),'Pond Description'!D30,0)</f>
        <v>0</v>
      </c>
      <c r="I16" s="36">
        <f>IF(AND(C16&lt;=$I$5,D16&gt;=$I$5),'Pond Description'!D30,0)</f>
        <v>0</v>
      </c>
      <c r="J16" s="36">
        <f>IF(AND(C16&lt;=$J$5,D16&gt;=$J$5),'Pond Description'!D30,0)</f>
        <v>0</v>
      </c>
      <c r="K16" s="36">
        <f>IF(AND(C16&lt;=$K$5,D16&gt;=$K$5),'Pond Description'!D30,0)</f>
        <v>0</v>
      </c>
      <c r="L16" s="36">
        <f>IF(AND(C16&lt;=$L$5,D16&gt;=$L$5),'Pond Description'!D30,0)</f>
        <v>0</v>
      </c>
      <c r="M16" s="36">
        <f>IF(AND(C16&lt;=$M$5,D16&gt;=$M$5),'Pond Description'!D30,0)</f>
        <v>0</v>
      </c>
      <c r="N16" s="36">
        <f>IF(AND($C$16&lt;=N5,$D$16&gt;=N5),'Pond Description'!D30,0)</f>
        <v>0</v>
      </c>
      <c r="O16" s="36">
        <f>IF(AND($C$16&lt;=O5,$D$16&gt;=O5),'Pond Description'!D30,0)</f>
        <v>0</v>
      </c>
      <c r="P16" s="36">
        <f>IF(AND($C$16&lt;=P5,$D$16&gt;=P5),'Pond Description'!D30,0)</f>
        <v>0</v>
      </c>
      <c r="Q16" s="36">
        <f>IF(AND($C$16&lt;=Q5,$D$16&gt;=Q5),'Pond Description'!D30,0)</f>
        <v>0</v>
      </c>
      <c r="R16" s="36">
        <f>IF(AND($C$16&lt;=R5,$D$16&gt;=R5),'Pond Description'!D30,0)</f>
        <v>0</v>
      </c>
      <c r="S16" s="36">
        <f>IF(AND($C$16&lt;=S5,$D$16&gt;=S5),'Pond Description'!D30,0)</f>
        <v>0</v>
      </c>
      <c r="T16" s="36">
        <f>IF(AND($C$16&lt;=T5,$D$16&gt;=T5),'Pond Description'!D30,0)</f>
        <v>0</v>
      </c>
      <c r="U16" s="36">
        <f>IF(AND($C$16&lt;=U5,$D$16&gt;=U5),'Pond Description'!D30,0)</f>
        <v>0</v>
      </c>
      <c r="V16" s="36">
        <f>IF(AND($C$16&lt;=V5,$D$16&gt;=V5),'Pond Description'!D30,0)</f>
        <v>0</v>
      </c>
      <c r="W16" s="36">
        <f>IF(AND($C$16&lt;=W5,$D$16&gt;=W5),'Pond Description'!D30,0)</f>
        <v>0</v>
      </c>
      <c r="X16" s="36">
        <f>IF(AND($C$16&lt;=X5,$D$16&gt;=X5),'Pond Description'!D30,0)</f>
        <v>0</v>
      </c>
      <c r="Y16" s="36">
        <f>IF(AND($C$16&lt;=Y5,$D$16&gt;=Y5),'Pond Description'!D30,0)</f>
        <v>0</v>
      </c>
      <c r="Z16" s="36">
        <f>IF(AND($C$16&lt;=Z5,$D$16&gt;=Z5),'Pond Description'!D30,0)</f>
        <v>0</v>
      </c>
      <c r="AA16" s="36">
        <f>IF(AND($C$16&lt;=AA5,$D$16&gt;=AA5),'Pond Description'!D30,0)</f>
        <v>0</v>
      </c>
      <c r="AB16" s="36">
        <f>IF(AND($C$16&lt;=AB5,$D$16&gt;=AB5),'Pond Description'!D30,0)</f>
        <v>0</v>
      </c>
      <c r="AC16" s="36">
        <f>IF(AND($C$16&lt;=AC5,$D$16&gt;=AC5),'Pond Description'!D30,0)</f>
        <v>0</v>
      </c>
      <c r="AD16" s="36">
        <f>IF(AND($C$16&lt;=AD5,$D$16&gt;=AD5),'Pond Description'!D30,0)</f>
        <v>0</v>
      </c>
      <c r="AE16" s="36">
        <f>IF(AND($C$16&lt;=AE5,$D$16&gt;=AE5),'Pond Description'!D30,0)</f>
        <v>0</v>
      </c>
      <c r="AF16" s="36">
        <f>IF(AND($C$16&lt;=AF5,$D$16&gt;=AF5),'Pond Description'!D30,0)</f>
        <v>0</v>
      </c>
      <c r="AG16" s="36">
        <f>IF(AND($C$16&lt;=AG5,$D$16&gt;=AG5),'Pond Description'!D30,0)</f>
        <v>0</v>
      </c>
      <c r="AH16" s="36">
        <f>IF(AND($C$16&lt;=AH5,$D$16&gt;=AH5),'Pond Description'!D30,0)</f>
        <v>0</v>
      </c>
      <c r="AI16" s="36">
        <f>IF(AND($C$16&lt;=AI5,$D$16&gt;=AI5),'Pond Description'!D30,0)</f>
        <v>0</v>
      </c>
      <c r="AJ16" s="36">
        <f>IF(AND($C$16&lt;=AJ5,$D$16&gt;=AJ5),'Pond Description'!D30,0)</f>
        <v>0</v>
      </c>
      <c r="AK16" s="36">
        <f>IF(AND($C$16&lt;=AK5,$D$16&gt;=AK5),'Pond Description'!D30,0)</f>
        <v>0</v>
      </c>
      <c r="AL16" s="36">
        <f>IF(AND($C$16&lt;=AL5,$D$16&gt;=AL5),'Pond Description'!D30,0)</f>
        <v>0</v>
      </c>
      <c r="AM16" s="36">
        <f>IF(AND($C$16&lt;=AM5,$D$16&gt;=AM5),'Pond Description'!D30,0)</f>
        <v>0</v>
      </c>
      <c r="AN16" s="36">
        <f>IF(AND($C$16&lt;=AN5,$D$16&gt;=AN5),'Pond Description'!D30,0)</f>
        <v>0</v>
      </c>
      <c r="AO16" s="36">
        <f>IF(AND($C$16&lt;=AO5,$D$16&gt;=AO5),'Pond Description'!D30,0)</f>
        <v>0</v>
      </c>
      <c r="AP16" s="36">
        <f>IF(AND($C$16&lt;=AP5,$D$16&gt;=AP5),'Pond Description'!D30,0)</f>
        <v>0</v>
      </c>
      <c r="AQ16" s="36">
        <f>IF(AND($C$16&lt;=AQ5,$D$16&gt;=AQ5),'Pond Description'!D30,0)</f>
        <v>0</v>
      </c>
      <c r="AR16" s="36">
        <f>IF(AND($C$16&lt;=AR5,$D$16&gt;=AR5),'Pond Description'!D30,0)</f>
        <v>0</v>
      </c>
      <c r="AS16" s="37">
        <f>IF(AND($C$16&lt;=AS5,$D$16&gt;=AS5),'Pond Description'!D30,0)</f>
        <v>0</v>
      </c>
      <c r="AT16" s="37">
        <f>IF(AND($C$16&lt;=AT5,$D$16&gt;=AT5),'Pond Description'!D30,0)</f>
        <v>0</v>
      </c>
      <c r="AU16" s="37">
        <f>IF(AND($C$16&lt;=AU5,$D$16&gt;=AU5),'Pond Description'!D30,0)</f>
        <v>0</v>
      </c>
      <c r="AV16" s="37">
        <f>IF(AND($C$16&lt;=AV5,$D$16&gt;=AV5),'Pond Description'!D30,0)</f>
        <v>0</v>
      </c>
      <c r="AW16" s="37">
        <f>IF(AND($C$16&lt;=AW5,$D$16&gt;=AW5),'Pond Description'!D30,0)</f>
        <v>0</v>
      </c>
      <c r="AX16" s="37">
        <f>IF(AND($C$16&lt;=AX5,$D$16&gt;=AX5),'Pond Description'!D30,0)</f>
        <v>0</v>
      </c>
      <c r="AY16" s="37">
        <f>IF(AND($C$16&lt;=AY5,$D$16&gt;=AY5),'Pond Description'!D30,0)</f>
        <v>0</v>
      </c>
      <c r="AZ16" s="37">
        <f>IF(AND($C$16&lt;=AZ5,$D$16&gt;=AZ5),'Pond Description'!D30,0)</f>
        <v>0</v>
      </c>
      <c r="BA16" s="37">
        <f>IF(AND($C$16&lt;=BA5,$D$16&gt;=BA5),'Pond Description'!D30,0)</f>
        <v>0</v>
      </c>
      <c r="BB16" s="37">
        <f>IF(AND($C$16&lt;=BB5,$D$16&gt;=BB5),'Pond Description'!D30,0)</f>
        <v>0</v>
      </c>
      <c r="BC16" s="37">
        <f>IF(AND($C$16&lt;=BC5,$D$16&gt;=BC5),'Pond Description'!D30,0)</f>
        <v>0</v>
      </c>
      <c r="BD16" s="30">
        <f t="shared" si="0"/>
        <v>0</v>
      </c>
    </row>
    <row r="17" spans="2:56" s="1" customFormat="1" ht="16.5" thickBot="1">
      <c r="B17" s="31">
        <v>12</v>
      </c>
      <c r="C17" s="32">
        <v>132.1</v>
      </c>
      <c r="D17" s="33">
        <v>144</v>
      </c>
      <c r="E17" s="34"/>
      <c r="F17" s="35">
        <f>IF(AND(C17&lt;=$F$5,D17&gt;=$F$5),'Pond Description'!D30,0)</f>
        <v>0</v>
      </c>
      <c r="G17" s="36">
        <f>IF(AND(C17&lt;=$G$5,D17&gt;=$G$5),'Pond Description'!D30,0)</f>
        <v>0</v>
      </c>
      <c r="H17" s="36">
        <f>IF(AND(C17&lt;=$H$5,D17&gt;=$H$5),'Pond Description'!D30,0)</f>
        <v>0</v>
      </c>
      <c r="I17" s="36">
        <f>IF(AND(C17&lt;=$I$5,D17&gt;=$I$5),'Pond Description'!D30,0)</f>
        <v>0</v>
      </c>
      <c r="J17" s="36">
        <f>IF(AND(C17&lt;=$J$5,D17&gt;=$J$5),'Pond Description'!D30,0)</f>
        <v>0</v>
      </c>
      <c r="K17" s="36">
        <f>IF(AND(C17&lt;=$K$5,D17&gt;=$K$5),'Pond Description'!D30,0)</f>
        <v>0</v>
      </c>
      <c r="L17" s="36">
        <f>IF(AND(C17&lt;=$L$5,D17&gt;=$L$5),'Pond Description'!D30,0)</f>
        <v>0</v>
      </c>
      <c r="M17" s="36">
        <f>IF(AND(C17&lt;=$M$5,D17&gt;=$M$5),'Pond Description'!D30,0)</f>
        <v>0</v>
      </c>
      <c r="N17" s="36">
        <f>IF(AND($C$17&lt;=N5,$D$17&gt;=N5),'Pond Description'!D30,0)</f>
        <v>0</v>
      </c>
      <c r="O17" s="36">
        <f>IF(AND($C$17&lt;=O5,$D$17&gt;=O5),'Pond Description'!D30,0)</f>
        <v>0</v>
      </c>
      <c r="P17" s="36">
        <f>IF(AND($C$17&lt;=P5,$D$17&gt;=P5),'Pond Description'!D30,0)</f>
        <v>0</v>
      </c>
      <c r="Q17" s="36">
        <f>IF(AND($C$17&lt;=Q5,$D$17&gt;=Q5),'Pond Description'!D30,0)</f>
        <v>0</v>
      </c>
      <c r="R17" s="36">
        <f>IF(AND($C$17&lt;=R5,$D$17&gt;=R5),'Pond Description'!D30,0)</f>
        <v>0</v>
      </c>
      <c r="S17" s="36">
        <f>IF(AND($C$17&lt;=S5,$D$17&gt;=S5),'Pond Description'!D30,0)</f>
        <v>0</v>
      </c>
      <c r="T17" s="36">
        <f>IF(AND($C$17&lt;=T5,$D$17&gt;=T5),'Pond Description'!D30,0)</f>
        <v>0</v>
      </c>
      <c r="U17" s="36">
        <f>IF(AND($C$17&lt;=U5,$D$17&gt;=U5),'Pond Description'!D30,0)</f>
        <v>0</v>
      </c>
      <c r="V17" s="36">
        <f>IF(AND($C$17&lt;=V5,$D$17&gt;=V5),'Pond Description'!D30,0)</f>
        <v>0</v>
      </c>
      <c r="W17" s="36">
        <f>IF(AND($C$17&lt;=W5,$D$17&gt;=W5),'Pond Description'!D30,0)</f>
        <v>0</v>
      </c>
      <c r="X17" s="36">
        <f>IF(AND($C$17&lt;=X5,$D$17&gt;=X5),'Pond Description'!D30,0)</f>
        <v>0</v>
      </c>
      <c r="Y17" s="36">
        <f>IF(AND($C$17&lt;=Y5,$D$17&gt;=Y5),'Pond Description'!D30,0)</f>
        <v>0</v>
      </c>
      <c r="Z17" s="36">
        <f>IF(AND($C$17&lt;=Z5,$D$17&gt;=Z5),'Pond Description'!D30,0)</f>
        <v>0</v>
      </c>
      <c r="AA17" s="36">
        <f>IF(AND($C$17&lt;=AA5,$D$17&gt;=AA5),'Pond Description'!D30,0)</f>
        <v>0</v>
      </c>
      <c r="AB17" s="36">
        <f>IF(AND($C$17&lt;=AB5,$D$17&gt;=AB5),'Pond Description'!D30,0)</f>
        <v>0</v>
      </c>
      <c r="AC17" s="36">
        <f>IF(AND($C$17&lt;=AC5,$D$17&gt;=AC5),'Pond Description'!D30,0)</f>
        <v>0</v>
      </c>
      <c r="AD17" s="36">
        <f>IF(AND($C$17&lt;=AD5,$D$17&gt;=AD5),'Pond Description'!D30,0)</f>
        <v>0</v>
      </c>
      <c r="AE17" s="36">
        <f>IF(AND($C$17&lt;=AE5,$D$17&gt;=AE5),'Pond Description'!D30,0)</f>
        <v>0</v>
      </c>
      <c r="AF17" s="36">
        <f>IF(AND($C$17&lt;=AF5,$D$17&gt;=AF5),'Pond Description'!D30,0)</f>
        <v>0</v>
      </c>
      <c r="AG17" s="36">
        <f>IF(AND($C$17&lt;=AG5,$D$17&gt;=AG5),'Pond Description'!D30,0)</f>
        <v>0</v>
      </c>
      <c r="AH17" s="36">
        <f>IF(AND($C$17&lt;=AH5,$D$17&gt;=AH5),'Pond Description'!D30,0)</f>
        <v>0</v>
      </c>
      <c r="AI17" s="36">
        <f>IF(AND($C$17&lt;=AI5,$D$17&gt;=AI5),'Pond Description'!D30,0)</f>
        <v>0</v>
      </c>
      <c r="AJ17" s="36">
        <f>IF(AND($C$17&lt;=AJ5,$D$17&gt;=AJ5),'Pond Description'!D30,0)</f>
        <v>0</v>
      </c>
      <c r="AK17" s="36">
        <f>IF(AND($C$17&lt;=AK5,$D$17&gt;=AK5),'Pond Description'!D30,0)</f>
        <v>0</v>
      </c>
      <c r="AL17" s="36">
        <f>IF(AND($C$17&lt;=AL5,$D$17&gt;=AL5),'Pond Description'!D30,0)</f>
        <v>0</v>
      </c>
      <c r="AM17" s="36">
        <f>IF(AND($C$17&lt;=AM5,$D$17&gt;=AM5),'Pond Description'!D30,0)</f>
        <v>0</v>
      </c>
      <c r="AN17" s="36">
        <f>IF(AND($C$17&lt;=AN5,$D$17&gt;=AN5),'Pond Description'!D30,0)</f>
        <v>0</v>
      </c>
      <c r="AO17" s="36">
        <f>IF(AND($C$17&lt;=AO5,$D$17&gt;=AO5),'Pond Description'!D30,0)</f>
        <v>0</v>
      </c>
      <c r="AP17" s="36">
        <f>IF(AND($C$17&lt;=AP5,$D$17&gt;=AP5),'Pond Description'!D30,0)</f>
        <v>0</v>
      </c>
      <c r="AQ17" s="36">
        <f>IF(AND($C$17&lt;=AQ5,$D$17&gt;=AQ5),'Pond Description'!D30,0)</f>
        <v>0</v>
      </c>
      <c r="AR17" s="36">
        <f>IF(AND($C$17&lt;=AR5,$D$17&gt;=AR5),'Pond Description'!D30,0)</f>
        <v>0</v>
      </c>
      <c r="AS17" s="37">
        <f>IF(AND($C$17&lt;=AS5,$D$17&gt;=AS5),'Pond Description'!D30,0)</f>
        <v>0</v>
      </c>
      <c r="AT17" s="37">
        <f>IF(AND($C$17&lt;=AT5,$D$17&gt;=AT5),'Pond Description'!D30,0)</f>
        <v>0</v>
      </c>
      <c r="AU17" s="37">
        <f>IF(AND($C$17&lt;=AU5,$D$17&gt;=AU5),'Pond Description'!D30,0)</f>
        <v>0</v>
      </c>
      <c r="AV17" s="37">
        <f>IF(AND($C$17&lt;=AV5,$D$17&gt;=AV5),'Pond Description'!D30,0)</f>
        <v>0</v>
      </c>
      <c r="AW17" s="37">
        <f>IF(AND($C$17&lt;=AW5,$D$17&gt;=AW5),'Pond Description'!D30,0)</f>
        <v>0</v>
      </c>
      <c r="AX17" s="37">
        <f>IF(AND($C$17&lt;=AX5,$D$17&gt;=AX5),'Pond Description'!D30,0)</f>
        <v>0</v>
      </c>
      <c r="AY17" s="37">
        <f>IF(AND($C$17&lt;=AY5,$D$17&gt;=AY5),'Pond Description'!D30,0)</f>
        <v>0</v>
      </c>
      <c r="AZ17" s="37">
        <f>IF(AND($C$17&lt;=AZ5,$D$17&gt;=AZ5),'Pond Description'!D30,0)</f>
        <v>0</v>
      </c>
      <c r="BA17" s="37">
        <f>IF(AND($C$17&lt;=BA5,$D$17&gt;=BA5),'Pond Description'!D30,0)</f>
        <v>0</v>
      </c>
      <c r="BB17" s="37">
        <f>IF(AND($C$17&lt;=BB5,$D$17&gt;=BB5),'Pond Description'!D30,0)</f>
        <v>0</v>
      </c>
      <c r="BC17" s="37">
        <f>IF(AND($C$17&lt;=BC5,$D$17&gt;=BC5),'Pond Description'!D30,0)</f>
        <v>0</v>
      </c>
      <c r="BD17" s="30">
        <f t="shared" si="0"/>
        <v>0</v>
      </c>
    </row>
    <row r="18" spans="2:56" s="1" customFormat="1" ht="16.5" thickBot="1">
      <c r="B18" s="31">
        <v>13</v>
      </c>
      <c r="C18" s="32">
        <v>144.1</v>
      </c>
      <c r="D18" s="33">
        <v>156</v>
      </c>
      <c r="E18" s="34"/>
      <c r="F18" s="35">
        <f>IF(AND(C18&lt;=$F$5,D18&gt;=$F$5),'Pond Description'!D30,0)</f>
        <v>0</v>
      </c>
      <c r="G18" s="36">
        <f>IF(AND(C18&lt;=$G$5,D18&gt;=$G$5),'Pond Description'!D30,0)</f>
        <v>0</v>
      </c>
      <c r="H18" s="36">
        <f>IF(AND(C18&lt;=$H$5,D18&gt;=$H$5),'Pond Description'!D30,0)</f>
        <v>0</v>
      </c>
      <c r="I18" s="36">
        <f>IF(AND(C18&lt;=$I$5,D18&gt;=$I$5),'Pond Description'!D30,0)</f>
        <v>0</v>
      </c>
      <c r="J18" s="36">
        <f>IF(AND(C18&lt;=$J$5,D18&gt;=$J$5),'Pond Description'!D30,0)</f>
        <v>0</v>
      </c>
      <c r="K18" s="36">
        <f>IF(AND(C18&lt;=$K$5,D18&gt;=$K$5),'Pond Description'!D30,0)</f>
        <v>0</v>
      </c>
      <c r="L18" s="36">
        <f>IF(AND(C18&lt;=$L$5,D18&gt;=$L$5),'Pond Description'!D30,0)</f>
        <v>0</v>
      </c>
      <c r="M18" s="36">
        <f>IF(AND(C18&lt;=$M$5,D18&gt;=$M$5),'Pond Description'!D30,0)</f>
        <v>0</v>
      </c>
      <c r="N18" s="36">
        <f>IF(AND($C$18&lt;=N5,$D$18&gt;=N5),'Pond Description'!D30,0)</f>
        <v>0</v>
      </c>
      <c r="O18" s="36">
        <f>IF(AND($C$18&lt;=O5,$D$18&gt;=O5),'Pond Description'!D30,0)</f>
        <v>0</v>
      </c>
      <c r="P18" s="36">
        <f>IF(AND($C$18&lt;=P5,$D$18&gt;=P5),'Pond Description'!D30,0)</f>
        <v>0</v>
      </c>
      <c r="Q18" s="36">
        <f>IF(AND($C$18&lt;=Q5,$D$18&gt;=Q5),'Pond Description'!D30,0)</f>
        <v>0</v>
      </c>
      <c r="R18" s="36">
        <f>IF(AND($C$18&lt;=R5,$D$18&gt;=R5),'Pond Description'!D30,0)</f>
        <v>0</v>
      </c>
      <c r="S18" s="36">
        <f>IF(AND($C$18&lt;=S5,$D$18&gt;=S5),'Pond Description'!D30,0)</f>
        <v>0</v>
      </c>
      <c r="T18" s="36">
        <f>IF(AND($C$18&lt;=T5,$D$18&gt;=T5),'Pond Description'!D30,0)</f>
        <v>0</v>
      </c>
      <c r="U18" s="36">
        <f>IF(AND($C$18&lt;=U5,$D$18&gt;=U5),'Pond Description'!D30,0)</f>
        <v>0</v>
      </c>
      <c r="V18" s="36">
        <f>IF(AND($C$18&lt;=V5,$D$18&gt;=V5),'Pond Description'!D30,0)</f>
        <v>0</v>
      </c>
      <c r="W18" s="36">
        <f>IF(AND($C$18&lt;=W5,$D$18&gt;=W5),'Pond Description'!D30,0)</f>
        <v>0</v>
      </c>
      <c r="X18" s="36">
        <f>IF(AND($C$18&lt;=X5,$D$18&gt;=X5),'Pond Description'!D30,0)</f>
        <v>0</v>
      </c>
      <c r="Y18" s="36">
        <f>IF(AND($C$18&lt;=Y5,$D$18&gt;=Y5),'Pond Description'!D30,0)</f>
        <v>0</v>
      </c>
      <c r="Z18" s="36">
        <f>IF(AND($C$18&lt;=Z5,$D$18&gt;=Z5),'Pond Description'!D30,0)</f>
        <v>0</v>
      </c>
      <c r="AA18" s="36">
        <f>IF(AND($C$18&lt;=AA5,$D$18&gt;=AA5),'Pond Description'!D30,0)</f>
        <v>0</v>
      </c>
      <c r="AB18" s="36">
        <f>IF(AND($C$18&lt;=AB5,$D$18&gt;=AB5),'Pond Description'!D30,0)</f>
        <v>0</v>
      </c>
      <c r="AC18" s="36">
        <f>IF(AND($C$18&lt;=AC5,$D$18&gt;=AC5),'Pond Description'!D30,0)</f>
        <v>0</v>
      </c>
      <c r="AD18" s="36">
        <f>IF(AND($C$18&lt;=AD5,$D$18&gt;=AD5),'Pond Description'!D30,0)</f>
        <v>0</v>
      </c>
      <c r="AE18" s="36">
        <f>IF(AND($C$18&lt;=AE5,$D$18&gt;=AE5),'Pond Description'!D30,0)</f>
        <v>0</v>
      </c>
      <c r="AF18" s="36">
        <f>IF(AND($C$18&lt;=AF5,$D$18&gt;=AF5),'Pond Description'!D30,0)</f>
        <v>0</v>
      </c>
      <c r="AG18" s="36">
        <f>IF(AND($C$18&lt;=AG5,$D$18&gt;=AG5),'Pond Description'!D30,0)</f>
        <v>0</v>
      </c>
      <c r="AH18" s="36">
        <f>IF(AND($C$18&lt;=AH5,$D$18&gt;=AH5),'Pond Description'!D30,0)</f>
        <v>0</v>
      </c>
      <c r="AI18" s="36">
        <f>IF(AND($C$18&lt;=AI5,$D$18&gt;=AI5),'Pond Description'!D30,0)</f>
        <v>0</v>
      </c>
      <c r="AJ18" s="36">
        <f>IF(AND($C$18&lt;=AJ5,$D$18&gt;=AJ5),'Pond Description'!D30,0)</f>
        <v>0</v>
      </c>
      <c r="AK18" s="36">
        <f>IF(AND($C$18&lt;=AK5,$D$18&gt;=AK5),'Pond Description'!D30,0)</f>
        <v>0</v>
      </c>
      <c r="AL18" s="36">
        <f>IF(AND($C$18&lt;=AL5,$D$18&gt;=AL5),'Pond Description'!D30,0)</f>
        <v>0</v>
      </c>
      <c r="AM18" s="36">
        <f>IF(AND($C$18&lt;=AM5,$D$18&gt;=AM5),'Pond Description'!D30,0)</f>
        <v>0</v>
      </c>
      <c r="AN18" s="36">
        <f>IF(AND($C$18&lt;=AN5,$D$18&gt;=AN5),'Pond Description'!D30,0)</f>
        <v>0</v>
      </c>
      <c r="AO18" s="36">
        <f>IF(AND($C$18&lt;=AO5,$D$18&gt;=AO5),'Pond Description'!D30,0)</f>
        <v>0</v>
      </c>
      <c r="AP18" s="36">
        <f>IF(AND($C$18&lt;=AP5,$D$18&gt;=AP5),'Pond Description'!D30,0)</f>
        <v>0</v>
      </c>
      <c r="AQ18" s="36">
        <f>IF(AND($C$18&lt;=AQ5,$D$18&gt;=AQ5),'Pond Description'!D30,0)</f>
        <v>0</v>
      </c>
      <c r="AR18" s="36">
        <f>IF(AND($C$18&lt;=AR5,$D$18&gt;=AR5),'Pond Description'!D30,0)</f>
        <v>0</v>
      </c>
      <c r="AS18" s="37">
        <f>IF(AND($C$18&lt;=AS5,$D$18&gt;=AS5),'Pond Description'!D30,0)</f>
        <v>0</v>
      </c>
      <c r="AT18" s="37">
        <f>IF(AND($C$18&lt;=AT5,$D$18&gt;=AT5),'Pond Description'!D30,0)</f>
        <v>0</v>
      </c>
      <c r="AU18" s="37">
        <f>IF(AND($C$18&lt;=AU5,$D$18&gt;=AU5),'Pond Description'!D30,0)</f>
        <v>0</v>
      </c>
      <c r="AV18" s="37">
        <f>IF(AND($C$18&lt;=AV5,$D$18&gt;=AV5),'Pond Description'!D30,0)</f>
        <v>0</v>
      </c>
      <c r="AW18" s="37">
        <f>IF(AND($C$18&lt;=AW5,$D$18&gt;=AW5),'Pond Description'!D30,0)</f>
        <v>0</v>
      </c>
      <c r="AX18" s="37">
        <f>IF(AND($C$18&lt;=AX5,$D$18&gt;=AX5),'Pond Description'!D30,0)</f>
        <v>0</v>
      </c>
      <c r="AY18" s="37">
        <f>IF(AND($C$18&lt;=AY5,$D$18&gt;=AY5),'Pond Description'!D30,0)</f>
        <v>0</v>
      </c>
      <c r="AZ18" s="37">
        <f>IF(AND($C$18&lt;=AZ5,$D$18&gt;=AZ5),'Pond Description'!D30,0)</f>
        <v>0</v>
      </c>
      <c r="BA18" s="37">
        <f>IF(AND($C$18&lt;=BA5,$D$18&gt;=BA5),'Pond Description'!D30,0)</f>
        <v>0</v>
      </c>
      <c r="BB18" s="37">
        <f>IF(AND($C$18&lt;=BB5,$D$18&gt;=BB5),'Pond Description'!D30,0)</f>
        <v>0</v>
      </c>
      <c r="BC18" s="37">
        <f>IF(AND($C$18&lt;=BC5,$D$18&gt;=BC5),'Pond Description'!D30,0)</f>
        <v>0</v>
      </c>
      <c r="BD18" s="30">
        <f t="shared" si="0"/>
        <v>0</v>
      </c>
    </row>
    <row r="19" spans="2:56" s="1" customFormat="1" ht="16.5" thickBot="1">
      <c r="B19" s="31">
        <v>14</v>
      </c>
      <c r="C19" s="32">
        <v>156.1</v>
      </c>
      <c r="D19" s="33">
        <v>168</v>
      </c>
      <c r="E19" s="34"/>
      <c r="F19" s="35">
        <f>IF(AND(C19&lt;=$F$5,D19&gt;=$F$5),'Pond Description'!D30,0)</f>
        <v>0</v>
      </c>
      <c r="G19" s="36">
        <f>IF(AND(C19&lt;=$G$5,D19&gt;=$G$5),'Pond Description'!D30,0)</f>
        <v>0</v>
      </c>
      <c r="H19" s="36">
        <f>IF(AND(C19&lt;=$H$5,D19&gt;=$H$5),'Pond Description'!D30,0)</f>
        <v>0</v>
      </c>
      <c r="I19" s="36">
        <f>IF(AND(C19&lt;=$I$5,D19&gt;=$I$5),'Pond Description'!D30,0)</f>
        <v>0</v>
      </c>
      <c r="J19" s="36">
        <f>IF(AND(C19&lt;=$J$5,D19&gt;=$J$5),'Pond Description'!D30,0)</f>
        <v>0</v>
      </c>
      <c r="K19" s="36">
        <f>IF(AND(C19&lt;=$K$5,D19&gt;=$K$5),'Pond Description'!D30,0)</f>
        <v>0</v>
      </c>
      <c r="L19" s="36">
        <f>IF(AND(C19&lt;=$L$5,D19&gt;=$L$5),'Pond Description'!D30,0)</f>
        <v>0</v>
      </c>
      <c r="M19" s="36">
        <f>IF(AND(C19&lt;=$M$5,D19&gt;=$M$5),'Pond Description'!D30,0)</f>
        <v>0</v>
      </c>
      <c r="N19" s="36">
        <f>IF(AND($C$19&lt;=N5,$D$19&gt;=N5),'Pond Description'!D30,0)</f>
        <v>0</v>
      </c>
      <c r="O19" s="36">
        <f>IF(AND($C$19&lt;=O5,$D$19&gt;=O5),'Pond Description'!D30,0)</f>
        <v>0</v>
      </c>
      <c r="P19" s="36">
        <f>IF(AND($C$19&lt;=P5,$D$19&gt;=P5),'Pond Description'!D30,0)</f>
        <v>0</v>
      </c>
      <c r="Q19" s="36">
        <f>IF(AND($C$19&lt;=Q5,$D$19&gt;=Q5),'Pond Description'!D30,0)</f>
        <v>0</v>
      </c>
      <c r="R19" s="36">
        <f>IF(AND($C$19&lt;=R5,$D$19&gt;=R5),'Pond Description'!D30,0)</f>
        <v>0</v>
      </c>
      <c r="S19" s="36">
        <f>IF(AND($C$19&lt;=S5,$D$19&gt;=S5),'Pond Description'!D30,0)</f>
        <v>0</v>
      </c>
      <c r="T19" s="36">
        <f>IF(AND($C$19&lt;=T5,$D$19&gt;=T5),'Pond Description'!D30,0)</f>
        <v>0</v>
      </c>
      <c r="U19" s="36">
        <f>IF(AND($C$19&lt;=U5,$D$19&gt;=U5),'Pond Description'!D30,0)</f>
        <v>0</v>
      </c>
      <c r="V19" s="36">
        <f>IF(AND($C$19&lt;=V5,$D$19&gt;=V5),'Pond Description'!D30,0)</f>
        <v>0</v>
      </c>
      <c r="W19" s="36">
        <f>IF(AND($C$19&lt;=W5,$D$19&gt;=W5),'Pond Description'!D30,0)</f>
        <v>0</v>
      </c>
      <c r="X19" s="36">
        <f>IF(AND($C$19&lt;=X5,$D$19&gt;=X5),'Pond Description'!D30,0)</f>
        <v>0</v>
      </c>
      <c r="Y19" s="36">
        <f>IF(AND($C$19&lt;=Y5,$D$19&gt;=Y5),'Pond Description'!D30,0)</f>
        <v>0</v>
      </c>
      <c r="Z19" s="36">
        <f>IF(AND($C$19&lt;=Z5,$D$19&gt;=Z5),'Pond Description'!D30,0)</f>
        <v>0</v>
      </c>
      <c r="AA19" s="36">
        <f>IF(AND($C$19&lt;=AA5,$D$19&gt;=AA5),'Pond Description'!D30,0)</f>
        <v>0</v>
      </c>
      <c r="AB19" s="36">
        <f>IF(AND($C$19&lt;=AB5,$D$19&gt;=AB5),'Pond Description'!D30,0)</f>
        <v>0</v>
      </c>
      <c r="AC19" s="36">
        <f>IF(AND($C$19&lt;=AC5,$D$19&gt;=AC5),'Pond Description'!D30,0)</f>
        <v>0</v>
      </c>
      <c r="AD19" s="36">
        <f>IF(AND($C$19&lt;=AD5,$D$19&gt;=AD5),'Pond Description'!D30,0)</f>
        <v>0</v>
      </c>
      <c r="AE19" s="36">
        <f>IF(AND($C$19&lt;=AE5,$D$19&gt;=AE5),'Pond Description'!D30,0)</f>
        <v>0</v>
      </c>
      <c r="AF19" s="36">
        <f>IF(AND($C$19&lt;=AF5,$D$19&gt;=AF5),'Pond Description'!D30,0)</f>
        <v>0</v>
      </c>
      <c r="AG19" s="36">
        <f>IF(AND($C$19&lt;=AG5,$D$19&gt;=AG5),'Pond Description'!D30,0)</f>
        <v>0</v>
      </c>
      <c r="AH19" s="36">
        <f>IF(AND($C$19&lt;=AH5,$D$19&gt;=AH5),'Pond Description'!D30,0)</f>
        <v>0</v>
      </c>
      <c r="AI19" s="36">
        <f>IF(AND($C$19&lt;=AI5,$D$19&gt;=AI5),'Pond Description'!D30,0)</f>
        <v>0</v>
      </c>
      <c r="AJ19" s="36">
        <f>IF(AND($C$19&lt;=AJ5,$D$19&gt;=AJ5),'Pond Description'!D30,0)</f>
        <v>0</v>
      </c>
      <c r="AK19" s="36">
        <f>IF(AND($C$19&lt;=AK5,$D$19&gt;=AK5),'Pond Description'!D30,0)</f>
        <v>0</v>
      </c>
      <c r="AL19" s="36">
        <f>IF(AND($C$19&lt;=AL5,$D$19&gt;=AL5),'Pond Description'!D30,0)</f>
        <v>0</v>
      </c>
      <c r="AM19" s="36">
        <f>IF(AND($C$19&lt;=AM5,$D$19&gt;=AM5),'Pond Description'!D30,0)</f>
        <v>0</v>
      </c>
      <c r="AN19" s="36">
        <f>IF(AND($C$19&lt;=AN5,$D$19&gt;=AN5),'Pond Description'!D30,0)</f>
        <v>0</v>
      </c>
      <c r="AO19" s="36">
        <f>IF(AND($C$19&lt;=AO5,$D$19&gt;=AO5),'Pond Description'!D30,0)</f>
        <v>0</v>
      </c>
      <c r="AP19" s="36">
        <f>IF(AND($C$19&lt;=AP5,$D$19&gt;=AP5),'Pond Description'!D30,0)</f>
        <v>0</v>
      </c>
      <c r="AQ19" s="36">
        <f>IF(AND($C$19&lt;=AQ5,$D$19&gt;=AQ5),'Pond Description'!D30,0)</f>
        <v>0</v>
      </c>
      <c r="AR19" s="36">
        <f>IF(AND($C$19&lt;=AR5,$D$19&gt;=AR5),'Pond Description'!D30,0)</f>
        <v>0</v>
      </c>
      <c r="AS19" s="37">
        <f>IF(AND($C$19&lt;=AS5,$D$19&gt;=AS5),'Pond Description'!D30,0)</f>
        <v>0</v>
      </c>
      <c r="AT19" s="37">
        <f>IF(AND($C$19&lt;=AT5,$D$19&gt;=AT5),'Pond Description'!D30,0)</f>
        <v>0</v>
      </c>
      <c r="AU19" s="37">
        <f>IF(AND($C$19&lt;=AU5,$D$19&gt;=AU5),'Pond Description'!D30,0)</f>
        <v>0</v>
      </c>
      <c r="AV19" s="37">
        <f>IF(AND($C$19&lt;=AV5,$D$19&gt;=AV5),'Pond Description'!D30,0)</f>
        <v>0</v>
      </c>
      <c r="AW19" s="37">
        <f>IF(AND($C$19&lt;=AW5,$D$19&gt;=AW5),'Pond Description'!D30,0)</f>
        <v>0</v>
      </c>
      <c r="AX19" s="37">
        <f>IF(AND($C$19&lt;=AX5,$D$19&gt;=AX5),'Pond Description'!D30,0)</f>
        <v>0</v>
      </c>
      <c r="AY19" s="37">
        <f>IF(AND($C$19&lt;=AY5,$D$19&gt;=AY5),'Pond Description'!D30,0)</f>
        <v>0</v>
      </c>
      <c r="AZ19" s="37">
        <f>IF(AND($C$19&lt;=AZ5,$D$19&gt;=AZ5),'Pond Description'!D30,0)</f>
        <v>0</v>
      </c>
      <c r="BA19" s="37">
        <f>IF(AND($C$19&lt;=BA5,$D$19&gt;=BA5),'Pond Description'!D30,0)</f>
        <v>0</v>
      </c>
      <c r="BB19" s="37">
        <f>IF(AND($C$19&lt;=BB5,$D$19&gt;=BB5),'Pond Description'!D30,0)</f>
        <v>0</v>
      </c>
      <c r="BC19" s="37">
        <f>IF(AND($C$19&lt;=BC5,$D$19&gt;=BC5),'Pond Description'!D30,0)</f>
        <v>0</v>
      </c>
      <c r="BD19" s="30">
        <f t="shared" si="0"/>
        <v>0</v>
      </c>
    </row>
    <row r="20" spans="2:56" s="1" customFormat="1" ht="16.5" thickBot="1">
      <c r="B20" s="31">
        <v>15</v>
      </c>
      <c r="C20" s="32">
        <v>168.1</v>
      </c>
      <c r="D20" s="33">
        <v>180</v>
      </c>
      <c r="E20" s="34"/>
      <c r="F20" s="35">
        <f>IF(AND(C20&lt;=$F$5,D20&gt;=$F$5),'Pond Description'!D30,0)</f>
        <v>0</v>
      </c>
      <c r="G20" s="36">
        <f>IF(AND(C20&lt;=$G$5,D20&gt;=$G$5),'Pond Description'!D30,0)</f>
        <v>0</v>
      </c>
      <c r="H20" s="36">
        <f>IF(AND(C20&lt;=$H$5,D20&gt;=$H$5),'Pond Description'!D30,0)</f>
        <v>0</v>
      </c>
      <c r="I20" s="36">
        <f>IF(AND(C20&lt;=$I$5,D20&gt;=$I$5),'Pond Description'!D30,0)</f>
        <v>0</v>
      </c>
      <c r="J20" s="36">
        <f>IF(AND(C20&lt;=$J$5,D20&gt;=$J$5),'Pond Description'!D30,0)</f>
        <v>0</v>
      </c>
      <c r="K20" s="36">
        <f>IF(AND(C20&lt;=$K$5,D20&gt;=$K$5),'Pond Description'!D30,0)</f>
        <v>0</v>
      </c>
      <c r="L20" s="36">
        <f>IF(AND(C20&lt;=$L$5,D20&gt;=$L$5),'Pond Description'!D30,0)</f>
        <v>0</v>
      </c>
      <c r="M20" s="36">
        <f>IF(AND(C20&lt;=$M$5,D20&gt;=$M$5),'Pond Description'!D30,0)</f>
        <v>0</v>
      </c>
      <c r="N20" s="36">
        <f>IF(AND($C$20&lt;=N5,$D$20&gt;=N5),'Pond Description'!D30,0)</f>
        <v>0</v>
      </c>
      <c r="O20" s="36">
        <f>IF(AND($C$20&lt;=O5,$D$20&gt;=O5),'Pond Description'!D30,0)</f>
        <v>0</v>
      </c>
      <c r="P20" s="36">
        <f>IF(AND($C$20&lt;=P5,$D$20&gt;=P5),'Pond Description'!D30,0)</f>
        <v>0</v>
      </c>
      <c r="Q20" s="36">
        <f>IF(AND($C$20&lt;=Q5,$D$20&gt;=Q5),'Pond Description'!D30,0)</f>
        <v>0</v>
      </c>
      <c r="R20" s="36">
        <f>IF(AND($C$20&lt;=R5,$D$20&gt;=R5),'Pond Description'!D30,0)</f>
        <v>0</v>
      </c>
      <c r="S20" s="36">
        <f>IF(AND($C$20&lt;=S5,$D$20&gt;=S5),'Pond Description'!D30,0)</f>
        <v>0</v>
      </c>
      <c r="T20" s="36">
        <f>IF(AND($C$20&lt;=T5,$D$20&gt;=T5),'Pond Description'!D30,0)</f>
        <v>0</v>
      </c>
      <c r="U20" s="36">
        <f>IF(AND($C$20&lt;=U5,$D$20&gt;=U5),'Pond Description'!D30,0)</f>
        <v>0</v>
      </c>
      <c r="V20" s="36">
        <f>IF(AND($C$20&lt;=V5,$D$20&gt;=V5),'Pond Description'!D30,0)</f>
        <v>0</v>
      </c>
      <c r="W20" s="36">
        <f>IF(AND($C$20&lt;=W5,$D$20&gt;=W5),'Pond Description'!D30,0)</f>
        <v>0</v>
      </c>
      <c r="X20" s="36">
        <f>IF(AND($C$20&lt;=X5,$D$20&gt;=X5),'Pond Description'!D30,0)</f>
        <v>0</v>
      </c>
      <c r="Y20" s="36">
        <f>IF(AND($C$20&lt;=Y5,$D$20&gt;=Y5),'Pond Description'!D30,0)</f>
        <v>0</v>
      </c>
      <c r="Z20" s="36">
        <f>IF(AND($C$20&lt;=Z5,$D$20&gt;=Z5),'Pond Description'!D30,0)</f>
        <v>0</v>
      </c>
      <c r="AA20" s="36">
        <f>IF(AND($C$20&lt;=AA5,$D$20&gt;=AA5),'Pond Description'!D30,0)</f>
        <v>0</v>
      </c>
      <c r="AB20" s="36">
        <f>IF(AND($C$20&lt;=AB5,$D$20&gt;=AB5),'Pond Description'!D30,0)</f>
        <v>0</v>
      </c>
      <c r="AC20" s="36">
        <f>IF(AND($C$20&lt;=AC5,$D$20&gt;=AC5),'Pond Description'!D30,0)</f>
        <v>0</v>
      </c>
      <c r="AD20" s="36">
        <f>IF(AND($C$20&lt;=AD5,$D$20&gt;=AD5),'Pond Description'!D30,0)</f>
        <v>0</v>
      </c>
      <c r="AE20" s="36">
        <f>IF(AND($C$20&lt;=AE5,$D$20&gt;=AE5),'Pond Description'!D30,0)</f>
        <v>0</v>
      </c>
      <c r="AF20" s="36">
        <f>IF(AND($C$20&lt;=AF5,$D$20&gt;=AF5),'Pond Description'!D30,0)</f>
        <v>0</v>
      </c>
      <c r="AG20" s="36">
        <f>IF(AND($C$20&lt;=AG5,$D$20&gt;=AG5),'Pond Description'!D30,0)</f>
        <v>0</v>
      </c>
      <c r="AH20" s="36">
        <f>IF(AND($C$20&lt;=AH5,$D$20&gt;=AH5),'Pond Description'!D30,0)</f>
        <v>0</v>
      </c>
      <c r="AI20" s="36">
        <f>IF(AND($C$20&lt;=AI5,$D$20&gt;=AI5),'Pond Description'!D30,0)</f>
        <v>0</v>
      </c>
      <c r="AJ20" s="36">
        <f>IF(AND($C$20&lt;=AJ5,$D$20&gt;=AJ5),'Pond Description'!D30,0)</f>
        <v>0</v>
      </c>
      <c r="AK20" s="36">
        <f>IF(AND($C$20&lt;=AK5,$D$20&gt;=AK5),'Pond Description'!D30,0)</f>
        <v>0</v>
      </c>
      <c r="AL20" s="36">
        <f>IF(AND($C$20&lt;=AL5,$D$20&gt;=AL5),'Pond Description'!D30,0)</f>
        <v>0</v>
      </c>
      <c r="AM20" s="36">
        <f>IF(AND($C$20&lt;=AM5,$D$20&gt;=AM5),'Pond Description'!D30,0)</f>
        <v>0</v>
      </c>
      <c r="AN20" s="36">
        <f>IF(AND($C$20&lt;=AN5,$D$20&gt;=AN5),'Pond Description'!D30,0)</f>
        <v>0</v>
      </c>
      <c r="AO20" s="36">
        <f>IF(AND($C$20&lt;=AO5,$D$20&gt;=AO5),'Pond Description'!D30,0)</f>
        <v>0</v>
      </c>
      <c r="AP20" s="36">
        <f>IF(AND($C$20&lt;=AP5,$D$20&gt;=AP5),'Pond Description'!D30,0)</f>
        <v>0</v>
      </c>
      <c r="AQ20" s="36">
        <f>IF(AND($C$20&lt;=AQ5,$D$20&gt;=AQ5),'Pond Description'!D30,0)</f>
        <v>0</v>
      </c>
      <c r="AR20" s="36">
        <f>IF(AND($C$20&lt;=AR5,$D$20&gt;=AR5),'Pond Description'!D30,0)</f>
        <v>0</v>
      </c>
      <c r="AS20" s="37">
        <f>IF(AND($C$20&lt;=AS5,$D$20&gt;=AS5),'Pond Description'!D30,0)</f>
        <v>0</v>
      </c>
      <c r="AT20" s="37">
        <f>IF(AND($C$20&lt;=AT5,$D$20&gt;=AT5),'Pond Description'!D30,0)</f>
        <v>0</v>
      </c>
      <c r="AU20" s="37">
        <f>IF(AND($C$20&lt;=AU5,$D$20&gt;=AU5),'Pond Description'!D30,0)</f>
        <v>0</v>
      </c>
      <c r="AV20" s="37">
        <f>IF(AND($C$20&lt;=AV5,$D$20&gt;=AV5),'Pond Description'!D30,0)</f>
        <v>0</v>
      </c>
      <c r="AW20" s="37">
        <f>IF(AND($C$20&lt;=AW5,$D$20&gt;=AW5),'Pond Description'!D30,0)</f>
        <v>0</v>
      </c>
      <c r="AX20" s="37">
        <f>IF(AND($C$20&lt;=AX5,$D$20&gt;=AX5),'Pond Description'!D30,0)</f>
        <v>0</v>
      </c>
      <c r="AY20" s="37">
        <f>IF(AND($C$20&lt;=AY5,$D$20&gt;=AY5),'Pond Description'!D30,0)</f>
        <v>0</v>
      </c>
      <c r="AZ20" s="37">
        <f>IF(AND($C$20&lt;=AZ5,$D$20&gt;=AZ5),'Pond Description'!D30,0)</f>
        <v>0</v>
      </c>
      <c r="BA20" s="37">
        <f>IF(AND($C$20&lt;=BA5,$D$20&gt;=BA5),'Pond Description'!D30,0)</f>
        <v>0</v>
      </c>
      <c r="BB20" s="37">
        <f>IF(AND($C$20&lt;=BB5,$D$20&gt;=BB5),'Pond Description'!D30,0)</f>
        <v>0</v>
      </c>
      <c r="BC20" s="37">
        <f>IF(AND($C$20&lt;=BC5,$D$20&gt;=BC5),'Pond Description'!D30,0)</f>
        <v>0</v>
      </c>
      <c r="BD20" s="30">
        <f t="shared" si="0"/>
        <v>0</v>
      </c>
    </row>
    <row r="21" spans="2:56" s="1" customFormat="1" ht="16.5" thickBot="1">
      <c r="B21" s="31">
        <v>16</v>
      </c>
      <c r="C21" s="32">
        <v>180.1</v>
      </c>
      <c r="D21" s="33">
        <v>192</v>
      </c>
      <c r="E21" s="34"/>
      <c r="F21" s="35">
        <f>IF(AND(C21&lt;=$F$5,D21&gt;=$F$5),'Pond Description'!D30,0)</f>
        <v>0</v>
      </c>
      <c r="G21" s="36">
        <f>IF(AND(C21&lt;=$G$5,D21&gt;=$G$5),'Pond Description'!D30,0)</f>
        <v>0</v>
      </c>
      <c r="H21" s="36">
        <f>IF(AND(C21&lt;=$H$5,D21&gt;=$H$5),'Pond Description'!D30,0)</f>
        <v>0</v>
      </c>
      <c r="I21" s="36">
        <f>IF(AND(C21&lt;=$I$5,D21&gt;=$I$5),'Pond Description'!D30,0)</f>
        <v>0</v>
      </c>
      <c r="J21" s="36">
        <f>IF(AND(C21&lt;=$J$5,D21&gt;=$J$5),'Pond Description'!D30,0)</f>
        <v>0</v>
      </c>
      <c r="K21" s="36">
        <f>IF(AND(C21&lt;=$K$5,D21&gt;=$K$5),'Pond Description'!D30,0)</f>
        <v>0</v>
      </c>
      <c r="L21" s="36">
        <f>IF(AND(C21&lt;=$L$5,D21&gt;=$L$5),'Pond Description'!D30,0)</f>
        <v>0</v>
      </c>
      <c r="M21" s="36">
        <f>IF(AND(C21&lt;=$M$5,D21&gt;=$M$5),'Pond Description'!D30,0)</f>
        <v>0</v>
      </c>
      <c r="N21" s="36">
        <f>IF(AND($C$21&lt;=N5,$D$21&gt;=N5),'Pond Description'!D30,0)</f>
        <v>0</v>
      </c>
      <c r="O21" s="36">
        <f>IF(AND($C$21&lt;=O5,$D$21&gt;=O5),'Pond Description'!D30,0)</f>
        <v>0</v>
      </c>
      <c r="P21" s="36">
        <f>IF(AND($C$21&lt;=P5,$D$21&gt;=P5),'Pond Description'!D30,0)</f>
        <v>0</v>
      </c>
      <c r="Q21" s="36">
        <f>IF(AND($C$21&lt;=Q5,$D$21&gt;=Q5),'Pond Description'!D30,0)</f>
        <v>0</v>
      </c>
      <c r="R21" s="36">
        <f>IF(AND($C$21&lt;=R5,$D$21&gt;=R5),'Pond Description'!D30,0)</f>
        <v>0</v>
      </c>
      <c r="S21" s="36">
        <f>IF(AND($C$21&lt;=S5,$D$21&gt;=S5),'Pond Description'!D30,0)</f>
        <v>0</v>
      </c>
      <c r="T21" s="36">
        <f>IF(AND($C$21&lt;=T5,$D$21&gt;=T5),'Pond Description'!D30,0)</f>
        <v>0</v>
      </c>
      <c r="U21" s="36">
        <f>IF(AND($C$21&lt;=U5,$D$21&gt;=U5),'Pond Description'!D30,0)</f>
        <v>0</v>
      </c>
      <c r="V21" s="36">
        <f>IF(AND($C$21&lt;=V5,$D$21&gt;=V5),'Pond Description'!D30,0)</f>
        <v>0</v>
      </c>
      <c r="W21" s="36">
        <f>IF(AND($C$21&lt;=W5,$D$21&gt;=W5),'Pond Description'!D30,0)</f>
        <v>0</v>
      </c>
      <c r="X21" s="36">
        <f>IF(AND($C$21&lt;=X5,$D$21&gt;=X5),'Pond Description'!D30,0)</f>
        <v>0</v>
      </c>
      <c r="Y21" s="36">
        <f>IF(AND($C$21&lt;=Y5,$D$21&gt;=Y5),'Pond Description'!D30,0)</f>
        <v>0</v>
      </c>
      <c r="Z21" s="36">
        <f>IF(AND($C$21&lt;=Z5,$D$21&gt;=Z5),'Pond Description'!D30,0)</f>
        <v>0</v>
      </c>
      <c r="AA21" s="36">
        <f>IF(AND($C$21&lt;=AA5,$D$21&gt;=AA5),'Pond Description'!D30,0)</f>
        <v>0</v>
      </c>
      <c r="AB21" s="36">
        <f>IF(AND($C$21&lt;=AB5,$D$21&gt;=AB5),'Pond Description'!D30,0)</f>
        <v>0</v>
      </c>
      <c r="AC21" s="36">
        <f>IF(AND($C$21&lt;=AC5,$D$21&gt;=AC5),'Pond Description'!D30,0)</f>
        <v>0</v>
      </c>
      <c r="AD21" s="36">
        <f>IF(AND($C$21&lt;=AD5,$D$21&gt;=AD5),'Pond Description'!D30,0)</f>
        <v>0</v>
      </c>
      <c r="AE21" s="36">
        <f>IF(AND($C$21&lt;=AE5,$D$21&gt;=AE5),'Pond Description'!D30,0)</f>
        <v>0</v>
      </c>
      <c r="AF21" s="36">
        <f>IF(AND($C$21&lt;=AF5,$D$21&gt;=AF5),'Pond Description'!D30,0)</f>
        <v>0</v>
      </c>
      <c r="AG21" s="36">
        <f>IF(AND($C$21&lt;=AG5,$D$21&gt;=AG5),'Pond Description'!D30,0)</f>
        <v>0</v>
      </c>
      <c r="AH21" s="36">
        <f>IF(AND($C$21&lt;=AH5,$D$21&gt;=AH5),'Pond Description'!D30,0)</f>
        <v>0</v>
      </c>
      <c r="AI21" s="36">
        <f>IF(AND($C$21&lt;=AI5,$D$21&gt;=AI5),'Pond Description'!D30,0)</f>
        <v>0</v>
      </c>
      <c r="AJ21" s="36">
        <f>IF(AND($C$21&lt;=AJ5,$D$21&gt;=AJ5),'Pond Description'!D30,0)</f>
        <v>0</v>
      </c>
      <c r="AK21" s="36">
        <f>IF(AND($C$21&lt;=AK5,$D$21&gt;=AK5),'Pond Description'!D30,0)</f>
        <v>0</v>
      </c>
      <c r="AL21" s="36">
        <f>IF(AND($C$21&lt;=AL5,$D$21&gt;=AL5),'Pond Description'!D30,0)</f>
        <v>0</v>
      </c>
      <c r="AM21" s="36">
        <f>IF(AND($C$21&lt;=AM5,$D$21&gt;=AM5),'Pond Description'!D30,0)</f>
        <v>0</v>
      </c>
      <c r="AN21" s="36">
        <f>IF(AND($C$21&lt;=AN5,$D$21&gt;=AN5),'Pond Description'!D30,0)</f>
        <v>0</v>
      </c>
      <c r="AO21" s="36">
        <f>IF(AND($C$21&lt;=AO5,$D$21&gt;=AO5),'Pond Description'!D30,0)</f>
        <v>0</v>
      </c>
      <c r="AP21" s="36">
        <f>IF(AND($C$21&lt;=AP5,$D$21&gt;=AP5),'Pond Description'!D30,0)</f>
        <v>0</v>
      </c>
      <c r="AQ21" s="36">
        <f>IF(AND($C$21&lt;=AQ5,$D$21&gt;=AQ5),'Pond Description'!D30,0)</f>
        <v>0</v>
      </c>
      <c r="AR21" s="36">
        <f>IF(AND($C$21&lt;=AR5,$D$21&gt;=AR5),'Pond Description'!D30,0)</f>
        <v>0</v>
      </c>
      <c r="AS21" s="37">
        <f>IF(AND($C$21&lt;=AS5,$D$21&gt;=AS5),'Pond Description'!D30,0)</f>
        <v>0</v>
      </c>
      <c r="AT21" s="37">
        <f>IF(AND($C$21&lt;=AT5,$D$21&gt;=AT5),'Pond Description'!D30,0)</f>
        <v>0</v>
      </c>
      <c r="AU21" s="37">
        <f>IF(AND($C$21&lt;=AU5,$D$21&gt;=AU5),'Pond Description'!D30,0)</f>
        <v>0</v>
      </c>
      <c r="AV21" s="37">
        <f>IF(AND($C$21&lt;=AV5,$D$21&gt;=AV5),'Pond Description'!D30,0)</f>
        <v>0</v>
      </c>
      <c r="AW21" s="37">
        <f>IF(AND($C$21&lt;=AW5,$D$21&gt;=AW5),'Pond Description'!D30,0)</f>
        <v>0</v>
      </c>
      <c r="AX21" s="37">
        <f>IF(AND($C$21&lt;=AX5,$D$21&gt;=AX5),'Pond Description'!D30,0)</f>
        <v>0</v>
      </c>
      <c r="AY21" s="37">
        <f>IF(AND($C$21&lt;=AY5,$D$21&gt;=AY5),'Pond Description'!D30,0)</f>
        <v>0</v>
      </c>
      <c r="AZ21" s="37">
        <f>IF(AND($C$21&lt;=AZ5,$D$21&gt;=AZ5),'Pond Description'!D30,0)</f>
        <v>0</v>
      </c>
      <c r="BA21" s="37">
        <f>IF(AND($C$21&lt;=BA5,$D$21&gt;=BA5),'Pond Description'!D30,0)</f>
        <v>0</v>
      </c>
      <c r="BB21" s="37">
        <f>IF(AND($C$21&lt;=BB5,$D$21&gt;=BB5),'Pond Description'!D30,0)</f>
        <v>0</v>
      </c>
      <c r="BC21" s="37">
        <f>IF(AND($C$21&lt;=BC5,$D$21&gt;=BC5),'Pond Description'!D30,0)</f>
        <v>0</v>
      </c>
      <c r="BD21" s="30">
        <f t="shared" si="0"/>
        <v>0</v>
      </c>
    </row>
    <row r="22" spans="2:56" s="1" customFormat="1" ht="16.5" thickBot="1">
      <c r="B22" s="31">
        <v>17</v>
      </c>
      <c r="C22" s="32">
        <v>192.1</v>
      </c>
      <c r="D22" s="33">
        <v>204</v>
      </c>
      <c r="E22" s="34"/>
      <c r="F22" s="35">
        <f>IF(AND(C22&lt;=$F$5,D22&gt;=$F$5),'Pond Description'!D30,0)</f>
        <v>0</v>
      </c>
      <c r="G22" s="36">
        <f>IF(AND(C22&lt;=$G$5,D22&gt;=$G$5),'Pond Description'!D30,0)</f>
        <v>0</v>
      </c>
      <c r="H22" s="36">
        <f>IF(AND(C22&lt;=$H$5,D22&gt;=$H$5),'Pond Description'!D30,0)</f>
        <v>0</v>
      </c>
      <c r="I22" s="36">
        <f>IF(AND(C22&lt;=$I$5,D22&gt;=$I$5),'Pond Description'!D30,0)</f>
        <v>0</v>
      </c>
      <c r="J22" s="36">
        <f>IF(AND(C22&lt;=$J$5,D22&gt;=$J$5),'Pond Description'!D30,0)</f>
        <v>0</v>
      </c>
      <c r="K22" s="36">
        <f>IF(AND(C22&lt;=$K$5,D22&gt;=$K$5),'Pond Description'!D30,0)</f>
        <v>0</v>
      </c>
      <c r="L22" s="36">
        <f>IF(AND(C22&lt;=$L$5,D22&gt;=$L$5),'Pond Description'!D30,0)</f>
        <v>0</v>
      </c>
      <c r="M22" s="36">
        <f>IF(AND(C22&lt;=$M$5,D22&gt;=$M$5),'Pond Description'!D30,0)</f>
        <v>0</v>
      </c>
      <c r="N22" s="36">
        <f>IF(AND($C$22&lt;=N5,$D$22&gt;=N5),'Pond Description'!D30,0)</f>
        <v>0</v>
      </c>
      <c r="O22" s="36">
        <f>IF(AND($C$22&lt;=O5,$D$22&gt;=O5),'Pond Description'!D30,0)</f>
        <v>0</v>
      </c>
      <c r="P22" s="36">
        <f>IF(AND($C$22&lt;=P5,$D$22&gt;=P5),'Pond Description'!D30,0)</f>
        <v>0</v>
      </c>
      <c r="Q22" s="36">
        <f>IF(AND($C$22&lt;=Q5,$D$22&gt;=Q5),'Pond Description'!D30,0)</f>
        <v>0</v>
      </c>
      <c r="R22" s="36">
        <f>IF(AND($C$22&lt;=R5,$D$22&gt;=R5),'Pond Description'!D30,0)</f>
        <v>0</v>
      </c>
      <c r="S22" s="36">
        <f>IF(AND($C$22&lt;=S5,$D$22&gt;=S5),'Pond Description'!D30,0)</f>
        <v>0</v>
      </c>
      <c r="T22" s="36">
        <f>IF(AND($C$22&lt;=T5,$D$22&gt;=T5),'Pond Description'!D30,0)</f>
        <v>0</v>
      </c>
      <c r="U22" s="36">
        <f>IF(AND($C$22&lt;=U5,$D$22&gt;=U5),'Pond Description'!D30,0)</f>
        <v>0</v>
      </c>
      <c r="V22" s="36">
        <f>IF(AND($C$22&lt;=V5,$D$22&gt;=V5),'Pond Description'!D30,0)</f>
        <v>0</v>
      </c>
      <c r="W22" s="36">
        <f>IF(AND($C$22&lt;=W5,$D$22&gt;=W5),'Pond Description'!D30,0)</f>
        <v>0</v>
      </c>
      <c r="X22" s="36">
        <f>IF(AND($C$22&lt;=X5,$D$22&gt;=X5),'Pond Description'!D30,0)</f>
        <v>0</v>
      </c>
      <c r="Y22" s="36">
        <f>IF(AND($C$22&lt;=Y5,$D$22&gt;=Y5),'Pond Description'!D30,0)</f>
        <v>0</v>
      </c>
      <c r="Z22" s="36">
        <f>IF(AND($C$22&lt;=Z5,$D$22&gt;=Z5),'Pond Description'!D30,0)</f>
        <v>0</v>
      </c>
      <c r="AA22" s="36">
        <f>IF(AND($C$22&lt;=AA5,$D$22&gt;=AA5),'Pond Description'!D30,0)</f>
        <v>0</v>
      </c>
      <c r="AB22" s="36">
        <f>IF(AND($C$22&lt;=AB5,$D$22&gt;=AB5),'Pond Description'!D30,0)</f>
        <v>0</v>
      </c>
      <c r="AC22" s="36">
        <f>IF(AND($C$22&lt;=AC5,$D$22&gt;=AC5),'Pond Description'!D30,0)</f>
        <v>0</v>
      </c>
      <c r="AD22" s="36">
        <f>IF(AND($C$22&lt;=AD5,$D$22&gt;=AD5),'Pond Description'!D30,0)</f>
        <v>0</v>
      </c>
      <c r="AE22" s="36">
        <f>IF(AND($C$22&lt;=AE5,$D$22&gt;=AE5),'Pond Description'!D30,0)</f>
        <v>0</v>
      </c>
      <c r="AF22" s="36">
        <f>IF(AND($C$22&lt;=AF5,$D$22&gt;=AF5),'Pond Description'!D30,0)</f>
        <v>0</v>
      </c>
      <c r="AG22" s="36">
        <f>IF(AND($C$22&lt;=AG5,$D$22&gt;=AG5),'Pond Description'!D30,0)</f>
        <v>0</v>
      </c>
      <c r="AH22" s="36">
        <f>IF(AND($C$22&lt;=AH5,$D$22&gt;=AH5),'Pond Description'!D30,0)</f>
        <v>0</v>
      </c>
      <c r="AI22" s="36">
        <f>IF(AND($C$22&lt;=AI5,$D$22&gt;=AI5),'Pond Description'!D30,0)</f>
        <v>0</v>
      </c>
      <c r="AJ22" s="36">
        <f>IF(AND($C$22&lt;=AJ5,$D$22&gt;=AJ5),'Pond Description'!D30,0)</f>
        <v>0</v>
      </c>
      <c r="AK22" s="36">
        <f>IF(AND($C$22&lt;=AK5,$D$22&gt;=AK5),'Pond Description'!D30,0)</f>
        <v>0</v>
      </c>
      <c r="AL22" s="36">
        <f>IF(AND($C$22&lt;=AL5,$D$22&gt;=AL5),'Pond Description'!D30,0)</f>
        <v>0</v>
      </c>
      <c r="AM22" s="36">
        <f>IF(AND($C$22&lt;=AM5,$D$22&gt;=AM5),'Pond Description'!D30,0)</f>
        <v>0</v>
      </c>
      <c r="AN22" s="36">
        <f>IF(AND($C$22&lt;=AN5,$D$22&gt;=AN5),'Pond Description'!D30,0)</f>
        <v>0</v>
      </c>
      <c r="AO22" s="36">
        <f>IF(AND($C$22&lt;=AO5,$D$22&gt;=AO5),'Pond Description'!D30,0)</f>
        <v>0</v>
      </c>
      <c r="AP22" s="36">
        <f>IF(AND($C$22&lt;=AP5,$D$22&gt;=AP5),'Pond Description'!D30,0)</f>
        <v>0</v>
      </c>
      <c r="AQ22" s="36">
        <f>IF(AND($C$22&lt;=AQ5,$D$22&gt;=AQ5),'Pond Description'!D30,0)</f>
        <v>0</v>
      </c>
      <c r="AR22" s="36">
        <f>IF(AND($C$22&lt;=AR5,$D$22&gt;=AR5),'Pond Description'!D30,0)</f>
        <v>0</v>
      </c>
      <c r="AS22" s="37">
        <f>IF(AND($C$22&lt;=AS5,$D$22&gt;=AS5),'Pond Description'!D30,0)</f>
        <v>0</v>
      </c>
      <c r="AT22" s="37">
        <f>IF(AND($C$22&lt;=AT5,$D$22&gt;=AT5),'Pond Description'!D30,0)</f>
        <v>0</v>
      </c>
      <c r="AU22" s="37">
        <f>IF(AND($C$22&lt;=AU5,$D$22&gt;=AU5),'Pond Description'!D30,0)</f>
        <v>0</v>
      </c>
      <c r="AV22" s="37">
        <f>IF(AND($C$22&lt;=AV5,$D$22&gt;=AV5),'Pond Description'!D30,0)</f>
        <v>0</v>
      </c>
      <c r="AW22" s="37">
        <f>IF(AND($C$22&lt;=AW5,$D$22&gt;=AW5),'Pond Description'!D30,0)</f>
        <v>0</v>
      </c>
      <c r="AX22" s="37">
        <f>IF(AND($C$22&lt;=AX5,$D$22&gt;=AX5),'Pond Description'!D30,0)</f>
        <v>0</v>
      </c>
      <c r="AY22" s="37">
        <f>IF(AND($C$22&lt;=AY5,$D$22&gt;=AY5),'Pond Description'!D30,0)</f>
        <v>0</v>
      </c>
      <c r="AZ22" s="37">
        <f>IF(AND($C$22&lt;=AZ5,$D$22&gt;=AZ5),'Pond Description'!D30,0)</f>
        <v>0</v>
      </c>
      <c r="BA22" s="37">
        <f>IF(AND($C$22&lt;=BA5,$D$22&gt;=BA5),'Pond Description'!D30,0)</f>
        <v>0</v>
      </c>
      <c r="BB22" s="37">
        <f>IF(AND($C$22&lt;=BB5,$D$22&gt;=BB5),'Pond Description'!D30,0)</f>
        <v>0</v>
      </c>
      <c r="BC22" s="37">
        <f>IF(AND($C$22&lt;=BC5,$D$22&gt;=BC5),'Pond Description'!D30,0)</f>
        <v>0</v>
      </c>
      <c r="BD22" s="30">
        <f t="shared" si="0"/>
        <v>0</v>
      </c>
    </row>
    <row r="23" spans="2:56" s="1" customFormat="1" ht="16.5" thickBot="1">
      <c r="B23" s="31">
        <v>18</v>
      </c>
      <c r="C23" s="32">
        <v>204.1</v>
      </c>
      <c r="D23" s="33">
        <v>216</v>
      </c>
      <c r="E23" s="34"/>
      <c r="F23" s="35">
        <f>IF(AND(C23&lt;=$F$5,D23&gt;=$F$5),'Pond Description'!D30,0)</f>
        <v>0</v>
      </c>
      <c r="G23" s="36">
        <f>IF(AND(C23&lt;=$G$5,D23&gt;=$G$5),'Pond Description'!D30,0)</f>
        <v>0</v>
      </c>
      <c r="H23" s="36">
        <f>IF(AND(C23&lt;=$H$5,D23&gt;=$H$5),'Pond Description'!D30,0)</f>
        <v>0</v>
      </c>
      <c r="I23" s="36">
        <f>IF(AND(C23&lt;=$I$5,D23&gt;=$I$5),'Pond Description'!D30,0)</f>
        <v>0</v>
      </c>
      <c r="J23" s="36">
        <f>IF(AND(C23&lt;=$J$5,D23&gt;=$J$5),'Pond Description'!D30,0)</f>
        <v>0</v>
      </c>
      <c r="K23" s="36">
        <f>IF(AND(C23&lt;=$K$5,D23&gt;=$K$5),'Pond Description'!D30,0)</f>
        <v>0</v>
      </c>
      <c r="L23" s="36">
        <f>IF(AND(C23&lt;=$L$5,D23&gt;=$L$5),'Pond Description'!D30,0)</f>
        <v>0</v>
      </c>
      <c r="M23" s="36">
        <f>IF(AND(C23&lt;=$M$5,D23&gt;=$M$5),'Pond Description'!D30,0)</f>
        <v>0</v>
      </c>
      <c r="N23" s="36">
        <f>IF(AND($C$23&lt;=N5,$D$23&gt;=N5),'Pond Description'!D30,0)</f>
        <v>0</v>
      </c>
      <c r="O23" s="36">
        <f>IF(AND($C$23&lt;=O5,$D$23&gt;=O5),'Pond Description'!D30,0)</f>
        <v>0</v>
      </c>
      <c r="P23" s="36">
        <f>IF(AND($C$23&lt;=P5,$D$23&gt;=P5),'Pond Description'!D30,0)</f>
        <v>0</v>
      </c>
      <c r="Q23" s="36">
        <f>IF(AND($C$23&lt;=Q5,$D$23&gt;=Q5),'Pond Description'!D30,0)</f>
        <v>0</v>
      </c>
      <c r="R23" s="36">
        <f>IF(AND($C$23&lt;=R5,$D$23&gt;=R5),'Pond Description'!D30,0)</f>
        <v>0</v>
      </c>
      <c r="S23" s="36">
        <f>IF(AND($C$23&lt;=S5,$D$23&gt;=S5),'Pond Description'!D30,0)</f>
        <v>0</v>
      </c>
      <c r="T23" s="36">
        <f>IF(AND($C$23&lt;=T5,$D$23&gt;=T5),'Pond Description'!D30,0)</f>
        <v>0</v>
      </c>
      <c r="U23" s="36">
        <f>IF(AND($C$23&lt;=U5,$D$23&gt;=U5),'Pond Description'!D30,0)</f>
        <v>0</v>
      </c>
      <c r="V23" s="36">
        <f>IF(AND($C$23&lt;=V5,$D$23&gt;=V5),'Pond Description'!D30,0)</f>
        <v>0</v>
      </c>
      <c r="W23" s="36">
        <f>IF(AND($C$23&lt;=W5,$D$23&gt;=W5),'Pond Description'!D30,0)</f>
        <v>0</v>
      </c>
      <c r="X23" s="36">
        <f>IF(AND($C$23&lt;=X5,$D$23&gt;=X5),'Pond Description'!D30,0)</f>
        <v>0</v>
      </c>
      <c r="Y23" s="36">
        <f>IF(AND($C$23&lt;=Y5,$D$23&gt;=Y5),'Pond Description'!D30,0)</f>
        <v>0</v>
      </c>
      <c r="Z23" s="36">
        <f>IF(AND($C$23&lt;=Z5,$D$23&gt;=Z5),'Pond Description'!D30,0)</f>
        <v>0</v>
      </c>
      <c r="AA23" s="36">
        <f>IF(AND($C$23&lt;=AA5,$D$23&gt;=AA5),'Pond Description'!D30,0)</f>
        <v>0</v>
      </c>
      <c r="AB23" s="36">
        <f>IF(AND($C$23&lt;=AB5,$D$23&gt;=AB5),'Pond Description'!D30,0)</f>
        <v>0</v>
      </c>
      <c r="AC23" s="36">
        <f>IF(AND($C$23&lt;=AC5,$D$23&gt;=AC5),'Pond Description'!D30,0)</f>
        <v>0</v>
      </c>
      <c r="AD23" s="36">
        <f>IF(AND($C$23&lt;=AD5,$D$23&gt;=AD5),'Pond Description'!D30,0)</f>
        <v>0</v>
      </c>
      <c r="AE23" s="36">
        <f>IF(AND($C$23&lt;=AE5,$D$23&gt;=AE5),'Pond Description'!D30,0)</f>
        <v>0</v>
      </c>
      <c r="AF23" s="36">
        <f>IF(AND($C$23&lt;=AF5,$D$23&gt;=AF5),'Pond Description'!D30,0)</f>
        <v>0</v>
      </c>
      <c r="AG23" s="36">
        <f>IF(AND($C$23&lt;=AG5,$D$23&gt;=AG5),'Pond Description'!D30,0)</f>
        <v>0</v>
      </c>
      <c r="AH23" s="36">
        <f>IF(AND($C$23&lt;=AH5,$D$23&gt;=AH5),'Pond Description'!D30,0)</f>
        <v>0</v>
      </c>
      <c r="AI23" s="36">
        <f>IF(AND($C$23&lt;=AI5,$D$23&gt;=AI5),'Pond Description'!D30,0)</f>
        <v>0</v>
      </c>
      <c r="AJ23" s="36">
        <f>IF(AND($C$23&lt;=AJ5,$D$23&gt;=AJ5),'Pond Description'!D30,0)</f>
        <v>0</v>
      </c>
      <c r="AK23" s="36">
        <f>IF(AND($C$23&lt;=AK5,$D$23&gt;=AK5),'Pond Description'!D30,0)</f>
        <v>0</v>
      </c>
      <c r="AL23" s="36">
        <f>IF(AND($C$23&lt;=AL5,$D$23&gt;=AL5),'Pond Description'!D30,0)</f>
        <v>0</v>
      </c>
      <c r="AM23" s="36">
        <f>IF(AND($C$23&lt;=AM5,$D$23&gt;=AM5),'Pond Description'!D30,0)</f>
        <v>0</v>
      </c>
      <c r="AN23" s="36">
        <f>IF(AND($C$23&lt;=AN5,$D$23&gt;=AN5),'Pond Description'!D30,0)</f>
        <v>0</v>
      </c>
      <c r="AO23" s="36">
        <f>IF(AND($C$23&lt;=AO5,$D$23&gt;=AO5),'Pond Description'!D30,0)</f>
        <v>0</v>
      </c>
      <c r="AP23" s="36">
        <f>IF(AND($C$23&lt;=AP5,$D$23&gt;=AP5),'Pond Description'!D30,0)</f>
        <v>0</v>
      </c>
      <c r="AQ23" s="36">
        <f>IF(AND($C$23&lt;=AQ5,$D$23&gt;=AQ5),'Pond Description'!D30,0)</f>
        <v>0</v>
      </c>
      <c r="AR23" s="36">
        <f>IF(AND($C$23&lt;=AR5,$D$23&gt;=AR5),'Pond Description'!D30,0)</f>
        <v>0</v>
      </c>
      <c r="AS23" s="37">
        <f>IF(AND($C$23&lt;=AS5,$D$23&gt;=AS5),'Pond Description'!D30,0)</f>
        <v>0</v>
      </c>
      <c r="AT23" s="37">
        <f>IF(AND($C$23&lt;=AT5,$D$23&gt;=AT5),'Pond Description'!D30,0)</f>
        <v>0</v>
      </c>
      <c r="AU23" s="37">
        <f>IF(AND($C$23&lt;=AU5,$D$23&gt;=AU5),'Pond Description'!D30,0)</f>
        <v>0</v>
      </c>
      <c r="AV23" s="37">
        <f>IF(AND($C$23&lt;=AV5,$D$23&gt;=AV5),'Pond Description'!D30,0)</f>
        <v>0</v>
      </c>
      <c r="AW23" s="37">
        <f>IF(AND($C$23&lt;=AW5,$D$23&gt;=AW5),'Pond Description'!D30,0)</f>
        <v>0</v>
      </c>
      <c r="AX23" s="37">
        <f>IF(AND($C$23&lt;=AX5,$D$23&gt;=AX5),'Pond Description'!D30,0)</f>
        <v>0</v>
      </c>
      <c r="AY23" s="37">
        <f>IF(AND($C$23&lt;=AY5,$D$23&gt;=AY5),'Pond Description'!D30,0)</f>
        <v>0</v>
      </c>
      <c r="AZ23" s="37">
        <f>IF(AND($C$23&lt;=AZ5,$D$23&gt;=AZ5),'Pond Description'!D30,0)</f>
        <v>0</v>
      </c>
      <c r="BA23" s="37">
        <f>IF(AND($C$23&lt;=BA5,$D$23&gt;=BA5),'Pond Description'!D30,0)</f>
        <v>0</v>
      </c>
      <c r="BB23" s="37">
        <f>IF(AND($C$23&lt;=BB5,$D$23&gt;=BB5),'Pond Description'!D30,0)</f>
        <v>0</v>
      </c>
      <c r="BC23" s="37">
        <f>IF(AND($C$23&lt;=BC5,$D$23&gt;=BC5),'Pond Description'!D30,0)</f>
        <v>0</v>
      </c>
      <c r="BD23" s="30">
        <f t="shared" si="0"/>
        <v>0</v>
      </c>
    </row>
    <row r="24" spans="2:56" s="1" customFormat="1" ht="16.5" thickBot="1">
      <c r="B24" s="31">
        <v>19</v>
      </c>
      <c r="C24" s="32">
        <v>216.1</v>
      </c>
      <c r="D24" s="33">
        <v>228</v>
      </c>
      <c r="E24" s="34"/>
      <c r="F24" s="35">
        <f>IF(AND(C24&lt;=$F$5,D24&gt;=$F$5),'Pond Description'!D30,0)</f>
        <v>0</v>
      </c>
      <c r="G24" s="36">
        <f>IF(AND(C24&lt;=$G$5,D24&gt;=$G$5),'Pond Description'!D30,0)</f>
        <v>0</v>
      </c>
      <c r="H24" s="36">
        <f>IF(AND(C24&lt;=$H$5,D24&gt;=$H$5),'Pond Description'!D30,0)</f>
        <v>0</v>
      </c>
      <c r="I24" s="36">
        <f>IF(AND(C24&lt;=$I$5,D24&gt;=$I$5),'Pond Description'!D30,0)</f>
        <v>0</v>
      </c>
      <c r="J24" s="36">
        <f>IF(AND(C24&lt;=$J$5,D24&gt;=$J$5),'Pond Description'!D30,0)</f>
        <v>0</v>
      </c>
      <c r="K24" s="36">
        <f>IF(AND(C24&lt;=$K$5,D24&gt;=$K$5),'Pond Description'!D30,0)</f>
        <v>0</v>
      </c>
      <c r="L24" s="36">
        <f>IF(AND(C24&lt;=$L$5,D24&gt;=$L$5),'Pond Description'!D30,0)</f>
        <v>0</v>
      </c>
      <c r="M24" s="36">
        <f>IF(AND(C24&lt;=$M$5,D24&gt;=$M$5),'Pond Description'!D30,0)</f>
        <v>0</v>
      </c>
      <c r="N24" s="36">
        <f>IF(AND($C$24&lt;=N5,$D$24&gt;=N5),'Pond Description'!D30,0)</f>
        <v>0</v>
      </c>
      <c r="O24" s="36">
        <f>IF(AND($C$24&lt;=O5,$D$24&gt;=O5),'Pond Description'!D30,0)</f>
        <v>0</v>
      </c>
      <c r="P24" s="36">
        <f>IF(AND($C$24&lt;=P5,$D$24&gt;=P5),'Pond Description'!D30,0)</f>
        <v>0</v>
      </c>
      <c r="Q24" s="36">
        <f>IF(AND($C$24&lt;=Q5,$D$24&gt;=Q5),'Pond Description'!D30,0)</f>
        <v>0</v>
      </c>
      <c r="R24" s="36">
        <f>IF(AND($C$24&lt;=R5,$D$24&gt;=R5),'Pond Description'!D30,0)</f>
        <v>0</v>
      </c>
      <c r="S24" s="36">
        <f>IF(AND($C$24&lt;=S5,$D$24&gt;=S5),'Pond Description'!D30,0)</f>
        <v>0</v>
      </c>
      <c r="T24" s="36">
        <f>IF(AND($C$24&lt;=T5,$D$24&gt;=T5),'Pond Description'!D30,0)</f>
        <v>0</v>
      </c>
      <c r="U24" s="36">
        <f>IF(AND($C$24&lt;=U5,$D$24&gt;=U5),'Pond Description'!D30,0)</f>
        <v>0</v>
      </c>
      <c r="V24" s="36">
        <f>IF(AND($C$24&lt;=V5,$D$24&gt;=V5),'Pond Description'!D30,0)</f>
        <v>0</v>
      </c>
      <c r="W24" s="36">
        <f>IF(AND($C$24&lt;=W5,$D$24&gt;=W5),'Pond Description'!D30,0)</f>
        <v>0</v>
      </c>
      <c r="X24" s="36">
        <f>IF(AND($C$24&lt;=X5,$D$24&gt;=X5),'Pond Description'!D30,0)</f>
        <v>0</v>
      </c>
      <c r="Y24" s="36">
        <f>IF(AND($C$24&lt;=Y5,$D$24&gt;=Y5),'Pond Description'!D30,0)</f>
        <v>0</v>
      </c>
      <c r="Z24" s="36">
        <f>IF(AND($C$24&lt;=Z5,$D$24&gt;=Z5),'Pond Description'!D30,0)</f>
        <v>0</v>
      </c>
      <c r="AA24" s="36">
        <f>IF(AND($C$24&lt;=AA5,$D$24&gt;=AA5),'Pond Description'!D30,0)</f>
        <v>0</v>
      </c>
      <c r="AB24" s="36">
        <f>IF(AND($C$24&lt;=AB5,$D$24&gt;=AB5),'Pond Description'!D30,0)</f>
        <v>0</v>
      </c>
      <c r="AC24" s="36">
        <f>IF(AND($C$24&lt;=AC5,$D$24&gt;=AC5),'Pond Description'!D30,0)</f>
        <v>0</v>
      </c>
      <c r="AD24" s="36">
        <f>IF(AND($C$24&lt;=AD5,$D$24&gt;=AD5),'Pond Description'!D30,0)</f>
        <v>0</v>
      </c>
      <c r="AE24" s="36">
        <f>IF(AND($C$24&lt;=AE5,$D$24&gt;=AE5),'Pond Description'!D30,0)</f>
        <v>0</v>
      </c>
      <c r="AF24" s="36">
        <f>IF(AND($C$24&lt;=AF5,$D$24&gt;=AF5),'Pond Description'!D30,0)</f>
        <v>0</v>
      </c>
      <c r="AG24" s="36">
        <f>IF(AND($C$24&lt;=AG5,$D$24&gt;=AG5),'Pond Description'!D30,0)</f>
        <v>0</v>
      </c>
      <c r="AH24" s="36">
        <f>IF(AND($C$24&lt;=AH5,$D$24&gt;=AH5),'Pond Description'!D30,0)</f>
        <v>0</v>
      </c>
      <c r="AI24" s="36">
        <f>IF(AND($C$24&lt;=AI5,$D$24&gt;=AI5),'Pond Description'!D30,0)</f>
        <v>0</v>
      </c>
      <c r="AJ24" s="36">
        <f>IF(AND($C$24&lt;=AJ5,$D$24&gt;=AJ5),'Pond Description'!D30,0)</f>
        <v>0</v>
      </c>
      <c r="AK24" s="36">
        <f>IF(AND($C$24&lt;=AK5,$D$24&gt;=AK5),'Pond Description'!D30,0)</f>
        <v>0</v>
      </c>
      <c r="AL24" s="36">
        <f>IF(AND($C$24&lt;=AL5,$D$24&gt;=AL5),'Pond Description'!D30,0)</f>
        <v>0</v>
      </c>
      <c r="AM24" s="36">
        <f>IF(AND($C$24&lt;=AM5,$D$24&gt;=AM5),'Pond Description'!D30,0)</f>
        <v>0</v>
      </c>
      <c r="AN24" s="36">
        <f>IF(AND($C$24&lt;=AN5,$D$24&gt;=AN5),'Pond Description'!D30,0)</f>
        <v>0</v>
      </c>
      <c r="AO24" s="36">
        <f>IF(AND($C$24&lt;=AO5,$D$24&gt;=AO5),'Pond Description'!D30,0)</f>
        <v>0</v>
      </c>
      <c r="AP24" s="36">
        <f>IF(AND($C$24&lt;=AP5,$D$24&gt;=AP5),'Pond Description'!D30,0)</f>
        <v>0</v>
      </c>
      <c r="AQ24" s="36">
        <f>IF(AND($C$24&lt;=AQ5,$D$24&gt;=AQ5),'Pond Description'!D30,0)</f>
        <v>0</v>
      </c>
      <c r="AR24" s="36">
        <f>IF(AND($C$24&lt;=AR5,$D$24&gt;=AR5),'Pond Description'!D30,0)</f>
        <v>0</v>
      </c>
      <c r="AS24" s="37">
        <f>IF(AND($C$24&lt;=AS5,$D$24&gt;=AS5),'Pond Description'!D30,0)</f>
        <v>0</v>
      </c>
      <c r="AT24" s="37">
        <f>IF(AND($C$24&lt;=AT5,$D$24&gt;=AT5),'Pond Description'!D30,0)</f>
        <v>0</v>
      </c>
      <c r="AU24" s="37">
        <f>IF(AND($C$24&lt;=AU5,$D$24&gt;=AU5),'Pond Description'!D30,0)</f>
        <v>0</v>
      </c>
      <c r="AV24" s="37">
        <f>IF(AND($C$24&lt;=AV5,$D$24&gt;=AV5),'Pond Description'!D30,0)</f>
        <v>0</v>
      </c>
      <c r="AW24" s="37">
        <f>IF(AND($C$24&lt;=AW5,$D$24&gt;=AW5),'Pond Description'!D30,0)</f>
        <v>0</v>
      </c>
      <c r="AX24" s="37">
        <f>IF(AND($C$24&lt;=AX5,$D$24&gt;=AX5),'Pond Description'!D30,0)</f>
        <v>0</v>
      </c>
      <c r="AY24" s="37">
        <f>IF(AND($C$24&lt;=AY5,$D$24&gt;=AY5),'Pond Description'!D30,0)</f>
        <v>0</v>
      </c>
      <c r="AZ24" s="37">
        <f>IF(AND($C$24&lt;=AZ5,$D$24&gt;=AZ5),'Pond Description'!D30,0)</f>
        <v>0</v>
      </c>
      <c r="BA24" s="37">
        <f>IF(AND($C$24&lt;=BA5,$D$24&gt;=BA5),'Pond Description'!D30,0)</f>
        <v>0</v>
      </c>
      <c r="BB24" s="37">
        <f>IF(AND($C$24&lt;=BB5,$D$24&gt;=BB5),'Pond Description'!D30,0)</f>
        <v>0</v>
      </c>
      <c r="BC24" s="37">
        <f>IF(AND($C$24&lt;=BC5,$D$24&gt;=BC5),'Pond Description'!D30,0)</f>
        <v>0</v>
      </c>
      <c r="BD24" s="30">
        <f t="shared" si="0"/>
        <v>0</v>
      </c>
    </row>
    <row r="25" spans="2:56" s="1" customFormat="1" ht="16.5" thickBot="1">
      <c r="B25" s="38">
        <v>20</v>
      </c>
      <c r="C25" s="39">
        <v>228.1</v>
      </c>
      <c r="D25" s="40">
        <v>240</v>
      </c>
      <c r="E25" s="41"/>
      <c r="F25" s="42">
        <f>IF(AND(C25&lt;=$F$5,D25&gt;=$F$5),'Pond Description'!D30,0)</f>
        <v>0</v>
      </c>
      <c r="G25" s="43">
        <f>IF(AND(C25&lt;=$G$5,D25&gt;=$G$5),'Pond Description'!D30,0)</f>
        <v>0</v>
      </c>
      <c r="H25" s="43">
        <f>IF(AND(C25&lt;=$H$5,D25&gt;=$H$5),'Pond Description'!D30,0)</f>
        <v>0</v>
      </c>
      <c r="I25" s="43">
        <f>IF(AND(C25&lt;=$I$5,D25&gt;=$I$5),'Pond Description'!D30,0)</f>
        <v>0</v>
      </c>
      <c r="J25" s="43">
        <f>IF(AND(C25&lt;=$J$5,D25&gt;=$J$5),'Pond Description'!D30,0)</f>
        <v>0</v>
      </c>
      <c r="K25" s="43">
        <f>IF(AND(C25&lt;=$K$5,D25&gt;=$K$5),'Pond Description'!D30,0)</f>
        <v>0</v>
      </c>
      <c r="L25" s="43">
        <f>IF(AND(C25&lt;=$L$5,D25&gt;=$L$5),'Pond Description'!D30,0)</f>
        <v>0</v>
      </c>
      <c r="M25" s="43">
        <f>IF(AND(C25&lt;=$M$5,D25&gt;=$M$5),'Pond Description'!D30,0)</f>
        <v>0</v>
      </c>
      <c r="N25" s="43">
        <f>IF(AND($C$25&lt;=N5,$D$25&gt;=N5),'Pond Description'!D30,0)</f>
        <v>0</v>
      </c>
      <c r="O25" s="43">
        <f>IF(AND($C$25&lt;=O5,$D$25&gt;=O5),'Pond Description'!D30,0)</f>
        <v>0</v>
      </c>
      <c r="P25" s="43">
        <f>IF(AND($C$25&lt;=P5,$D$25&gt;=P5),'Pond Description'!D30,0)</f>
        <v>0</v>
      </c>
      <c r="Q25" s="43">
        <f>IF(AND($C$25&lt;=Q5,$D$25&gt;=Q5),'Pond Description'!D30,0)</f>
        <v>0</v>
      </c>
      <c r="R25" s="43">
        <f>IF(AND($C$25&lt;=R5,$D$25&gt;=R5),'Pond Description'!D30,0)</f>
        <v>0</v>
      </c>
      <c r="S25" s="43">
        <f>IF(AND($C$25&lt;=S5,$D$25&gt;=S5),'Pond Description'!D30,0)</f>
        <v>0</v>
      </c>
      <c r="T25" s="43">
        <f>IF(AND($C$25&lt;=T5,$D$25&gt;=T5),'Pond Description'!D30,0)</f>
        <v>0</v>
      </c>
      <c r="U25" s="43">
        <f>IF(AND($C$25&lt;=U5,$D$25&gt;=U5),'Pond Description'!D30,0)</f>
        <v>0</v>
      </c>
      <c r="V25" s="43">
        <f>IF(AND($C$25&lt;=V5,$D$25&gt;=V5),'Pond Description'!D30,0)</f>
        <v>0</v>
      </c>
      <c r="W25" s="43">
        <f>IF(AND($C$25&lt;=W5,$D$25&gt;=W5),'Pond Description'!D30,0)</f>
        <v>0</v>
      </c>
      <c r="X25" s="43">
        <f>IF(AND($C$25&lt;=X5,$D$25&gt;=X5),'Pond Description'!D30,0)</f>
        <v>0</v>
      </c>
      <c r="Y25" s="43">
        <f>IF(AND($C$25&lt;=Y5,$D$25&gt;=Y5),'Pond Description'!D30,0)</f>
        <v>0</v>
      </c>
      <c r="Z25" s="43">
        <f>IF(AND($C$25&lt;=Z5,$D$25&gt;=Z5),'Pond Description'!D30,0)</f>
        <v>0</v>
      </c>
      <c r="AA25" s="43">
        <f>IF(AND($C$25&lt;=AA5,$D$25&gt;=AA5),'Pond Description'!D30,0)</f>
        <v>0</v>
      </c>
      <c r="AB25" s="43">
        <f>IF(AND($C$25&lt;=AB5,$D$25&gt;=AB5),'Pond Description'!D30,0)</f>
        <v>0</v>
      </c>
      <c r="AC25" s="43">
        <f>IF(AND($C$25&lt;=AC5,$D$25&gt;=AC5),'Pond Description'!D30,0)</f>
        <v>0</v>
      </c>
      <c r="AD25" s="43">
        <f>IF(AND($C$25&lt;=AD5,$D$25&gt;=AD5),'Pond Description'!D30,0)</f>
        <v>0</v>
      </c>
      <c r="AE25" s="43">
        <f>IF(AND($C$25&lt;=AE5,$D$25&gt;=AE5),'Pond Description'!D30,0)</f>
        <v>0</v>
      </c>
      <c r="AF25" s="43">
        <f>IF(AND($C$25&lt;=AF5,$D$25&gt;=AF5),'Pond Description'!D30,0)</f>
        <v>0</v>
      </c>
      <c r="AG25" s="43">
        <f>IF(AND($C$25&lt;=AG5,$D$25&gt;=AG5),'Pond Description'!D30,0)</f>
        <v>0</v>
      </c>
      <c r="AH25" s="43">
        <f>IF(AND($C$25&lt;=AH5,$D$25&gt;=AH5),'Pond Description'!D30,0)</f>
        <v>0</v>
      </c>
      <c r="AI25" s="43">
        <f>IF(AND($C$25&lt;=AI5,$D$25&gt;=AI5),'Pond Description'!D30,0)</f>
        <v>0</v>
      </c>
      <c r="AJ25" s="43">
        <f>IF(AND($C$25&lt;=AJ5,$D$25&gt;=AJ5),'Pond Description'!D30,0)</f>
        <v>0</v>
      </c>
      <c r="AK25" s="43">
        <f>IF(AND($C$25&lt;=AK5,$D$25&gt;=AK5),'Pond Description'!D30,0)</f>
        <v>0</v>
      </c>
      <c r="AL25" s="43">
        <f>IF(AND($C$25&lt;=AL5,$D$25&gt;=AL5),'Pond Description'!D30,0)</f>
        <v>0</v>
      </c>
      <c r="AM25" s="43">
        <f>IF(AND($C$25&lt;=AM5,$D$25&gt;=AM5),'Pond Description'!D30,0)</f>
        <v>0</v>
      </c>
      <c r="AN25" s="43">
        <f>IF(AND($C$25&lt;=AN5,$D$25&gt;=AN5),'Pond Description'!D30,0)</f>
        <v>0</v>
      </c>
      <c r="AO25" s="43">
        <f>IF(AND($C$25&lt;=AO5,$D$25&gt;=AO5),'Pond Description'!D30,0)</f>
        <v>0</v>
      </c>
      <c r="AP25" s="43">
        <f>IF(AND($C$25&lt;=AP5,$D$25&gt;=AP5),'Pond Description'!D30,0)</f>
        <v>0</v>
      </c>
      <c r="AQ25" s="43">
        <f>IF(AND($C$25&lt;=AQ5,$D$25&gt;=AQ5),'Pond Description'!D30,0)</f>
        <v>0</v>
      </c>
      <c r="AR25" s="43">
        <f>IF(AND($C$25&lt;=AR5,$D$25&gt;=AR5),'Pond Description'!D30,0)</f>
        <v>0</v>
      </c>
      <c r="AS25" s="44">
        <f>IF(AND($C$25&lt;=AS5,$D$25&gt;=AS5),'Pond Description'!D30,0)</f>
        <v>0</v>
      </c>
      <c r="AT25" s="44">
        <f>IF(AND($C$25&lt;=AT5,$D$25&gt;=AT5),'Pond Description'!D30,0)</f>
        <v>0</v>
      </c>
      <c r="AU25" s="44">
        <f>IF(AND($C$25&lt;=AU5,$D$25&gt;=AU5),'Pond Description'!D30,0)</f>
        <v>0</v>
      </c>
      <c r="AV25" s="44">
        <f>IF(AND($C$25&lt;=AV5,$D$25&gt;=AV5),'Pond Description'!D30,0)</f>
        <v>0</v>
      </c>
      <c r="AW25" s="44">
        <f>IF(AND($C$25&lt;=AW5,$D$25&gt;=AW5),'Pond Description'!D30,0)</f>
        <v>0</v>
      </c>
      <c r="AX25" s="44">
        <f>IF(AND($C$25&lt;=AX5,$D$25&gt;=AX5),'Pond Description'!D30,0)</f>
        <v>0</v>
      </c>
      <c r="AY25" s="44">
        <f>IF(AND($C$25&lt;=AY5,$D$25&gt;=AY5),'Pond Description'!D30,0)</f>
        <v>0</v>
      </c>
      <c r="AZ25" s="44">
        <f>IF(AND($C$25&lt;=AZ5,$D$25&gt;=AZ5),'Pond Description'!D30,0)</f>
        <v>0</v>
      </c>
      <c r="BA25" s="44">
        <f>IF(AND($C$25&lt;=BA5,$D$25&gt;=BA5),'Pond Description'!D30,0)</f>
        <v>0</v>
      </c>
      <c r="BB25" s="44">
        <f>IF(AND($C$25&lt;=BB5,$D$25&gt;=BB5),'Pond Description'!D30,0)</f>
        <v>0</v>
      </c>
      <c r="BC25" s="44">
        <f>IF(AND($C$25&lt;=BC5,$D$25&gt;=BC5),'Pond Description'!D30,0)</f>
        <v>0</v>
      </c>
      <c r="BD25" s="30">
        <f t="shared" si="0"/>
        <v>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N48"/>
  <sheetViews>
    <sheetView showGridLines="0" showRowColHeaders="0" zoomScale="75" zoomScaleNormal="75" workbookViewId="0" topLeftCell="A1">
      <selection activeCell="D1" sqref="D1"/>
    </sheetView>
  </sheetViews>
  <sheetFormatPr defaultColWidth="9.140625" defaultRowHeight="12.75"/>
  <cols>
    <col min="1" max="1" width="9.140625" style="210" customWidth="1"/>
    <col min="2" max="2" width="70.8515625" style="210" bestFit="1" customWidth="1"/>
    <col min="3" max="3" width="9.140625" style="210" customWidth="1"/>
    <col min="4" max="4" width="14.7109375" style="210" customWidth="1"/>
    <col min="5" max="5" width="2.140625" style="210" customWidth="1"/>
    <col min="6" max="8" width="9.140625" style="210" customWidth="1"/>
    <col min="9" max="9" width="26.00390625" style="210" bestFit="1" customWidth="1"/>
    <col min="10" max="10" width="9.140625" style="210" customWidth="1"/>
    <col min="11" max="11" width="15.8515625" style="210" customWidth="1"/>
    <col min="12" max="12" width="2.28125" style="210" customWidth="1"/>
    <col min="13" max="16384" width="9.140625" style="210" customWidth="1"/>
  </cols>
  <sheetData>
    <row r="1" ht="26.25">
      <c r="A1" s="211" t="s">
        <v>285</v>
      </c>
    </row>
    <row r="4" ht="18.75">
      <c r="A4" s="212" t="s">
        <v>286</v>
      </c>
    </row>
    <row r="5" ht="6" customHeight="1"/>
    <row r="6" spans="2:6" ht="15.75" customHeight="1">
      <c r="B6" s="210" t="s">
        <v>287</v>
      </c>
      <c r="D6" s="214">
        <f>'Key Parameters'!C9</f>
        <v>0</v>
      </c>
      <c r="F6" s="210" t="s">
        <v>12</v>
      </c>
    </row>
    <row r="7" ht="6" customHeight="1"/>
    <row r="8" spans="2:4" ht="15.75">
      <c r="B8" s="210" t="s">
        <v>291</v>
      </c>
      <c r="D8" s="215">
        <f>IF('Key Parameters'!C3=1,0,'Pond Description'!D30/'Production Parameters'!D33)</f>
        <v>0</v>
      </c>
    </row>
    <row r="9" ht="6" customHeight="1"/>
    <row r="10" spans="2:4" ht="15.75" customHeight="1">
      <c r="B10" s="210" t="s">
        <v>290</v>
      </c>
      <c r="D10" s="215">
        <f>D24</f>
        <v>0</v>
      </c>
    </row>
    <row r="11" ht="6" customHeight="1"/>
    <row r="12" spans="2:6" ht="15.75">
      <c r="B12" s="210" t="s">
        <v>5</v>
      </c>
      <c r="D12" s="214">
        <f>IF('Pond Description'!D14=0,0,D14/('Pond Description'!D14*10000))</f>
        <v>0</v>
      </c>
      <c r="F12" s="210" t="s">
        <v>6</v>
      </c>
    </row>
    <row r="13" ht="6" customHeight="1"/>
    <row r="14" spans="2:4" ht="15.75">
      <c r="B14" s="210" t="s">
        <v>17</v>
      </c>
      <c r="D14" s="215">
        <f>(D8+D10)/'Pond Description'!D22</f>
        <v>0</v>
      </c>
    </row>
    <row r="15" ht="6" customHeight="1"/>
    <row r="16" spans="2:6" ht="15.75">
      <c r="B16" s="210" t="s">
        <v>211</v>
      </c>
      <c r="D16" s="345">
        <v>0</v>
      </c>
      <c r="F16" s="210" t="s">
        <v>212</v>
      </c>
    </row>
    <row r="17" ht="6" customHeight="1"/>
    <row r="18" spans="2:4" ht="15.75">
      <c r="B18" s="210" t="s">
        <v>216</v>
      </c>
      <c r="D18" s="344">
        <f>IF('Key Parameters'!C3=1,'Juveniles &amp; Nursery'!D10*'Juveniles &amp; Nursery'!D16,'Juveniles &amp; Nursery'!D8*'Juveniles &amp; Nursery'!D16)</f>
        <v>0</v>
      </c>
    </row>
    <row r="20" ht="18.75">
      <c r="A20" s="212" t="s">
        <v>265</v>
      </c>
    </row>
    <row r="21" ht="6" customHeight="1"/>
    <row r="22" spans="2:4" ht="15.75">
      <c r="B22" s="210" t="s">
        <v>266</v>
      </c>
      <c r="D22" s="7">
        <v>0</v>
      </c>
    </row>
    <row r="23" ht="6" customHeight="1"/>
    <row r="24" spans="2:4" ht="15.75">
      <c r="B24" s="210" t="s">
        <v>276</v>
      </c>
      <c r="D24" s="215">
        <f>IF('Production Parameters'!D33=0,0,IF('Key Parameters'!C3=1,'Pond Description'!D30/'Production Parameters'!D33/'Juveniles &amp; Nursery'!D22,0))</f>
        <v>0</v>
      </c>
    </row>
    <row r="25" ht="6" customHeight="1">
      <c r="D25" s="219"/>
    </row>
    <row r="26" spans="2:6" ht="15.75">
      <c r="B26" s="210" t="s">
        <v>318</v>
      </c>
      <c r="D26" s="408">
        <v>0</v>
      </c>
      <c r="F26" s="210" t="s">
        <v>8</v>
      </c>
    </row>
    <row r="27" ht="15.75" customHeight="1"/>
    <row r="28" ht="15.75" customHeight="1">
      <c r="A28" s="212" t="s">
        <v>268</v>
      </c>
    </row>
    <row r="29" ht="6" customHeight="1"/>
    <row r="30" spans="2:6" ht="15.75" customHeight="1">
      <c r="B30" s="210" t="s">
        <v>273</v>
      </c>
      <c r="D30" s="10">
        <v>0</v>
      </c>
      <c r="F30" s="210" t="s">
        <v>3</v>
      </c>
    </row>
    <row r="31" ht="6" customHeight="1"/>
    <row r="32" spans="2:6" ht="15.75" customHeight="1">
      <c r="B32" s="210" t="s">
        <v>274</v>
      </c>
      <c r="D32" s="10">
        <v>0</v>
      </c>
      <c r="F32" s="210" t="s">
        <v>3</v>
      </c>
    </row>
    <row r="33" ht="6" customHeight="1"/>
    <row r="34" spans="2:6" ht="15.75" customHeight="1">
      <c r="B34" s="210" t="s">
        <v>272</v>
      </c>
      <c r="D34" s="214">
        <f>D30*D32</f>
        <v>0</v>
      </c>
      <c r="F34" s="210" t="s">
        <v>23</v>
      </c>
    </row>
    <row r="35" ht="6" customHeight="1"/>
    <row r="36" spans="2:4" ht="15.75" customHeight="1">
      <c r="B36" s="210" t="s">
        <v>275</v>
      </c>
      <c r="D36" s="216">
        <f>IF(D44=0,0,ROUNDUP(D24/D44,0))</f>
        <v>0</v>
      </c>
    </row>
    <row r="37" ht="15.75" customHeight="1"/>
    <row r="38" ht="15.75" customHeight="1">
      <c r="A38" s="212" t="s">
        <v>267</v>
      </c>
    </row>
    <row r="39" ht="6" customHeight="1"/>
    <row r="40" spans="2:6" ht="15.75" customHeight="1">
      <c r="B40" s="210" t="s">
        <v>270</v>
      </c>
      <c r="D40" s="215">
        <f>IF(D24=0,0,'Pond Description'!D14*10000)</f>
        <v>0</v>
      </c>
      <c r="F40" s="210" t="s">
        <v>23</v>
      </c>
    </row>
    <row r="41" spans="9:14" ht="6" customHeight="1">
      <c r="I41" s="359"/>
      <c r="J41" s="235"/>
      <c r="K41" s="235"/>
      <c r="L41" s="235"/>
      <c r="M41" s="235"/>
      <c r="N41" s="235"/>
    </row>
    <row r="42" spans="2:14" ht="15.75" customHeight="1">
      <c r="B42" s="210" t="s">
        <v>5</v>
      </c>
      <c r="D42" s="4">
        <v>0</v>
      </c>
      <c r="I42" s="235"/>
      <c r="J42" s="235"/>
      <c r="K42" s="235"/>
      <c r="L42" s="235"/>
      <c r="M42" s="235"/>
      <c r="N42" s="235"/>
    </row>
    <row r="43" spans="9:14" ht="6" customHeight="1">
      <c r="I43" s="235"/>
      <c r="J43" s="235"/>
      <c r="K43" s="360"/>
      <c r="L43" s="235"/>
      <c r="M43" s="235"/>
      <c r="N43" s="235"/>
    </row>
    <row r="44" spans="2:14" ht="15.75" customHeight="1">
      <c r="B44" s="210" t="s">
        <v>271</v>
      </c>
      <c r="D44" s="216">
        <f>IF(D24=0,0,D34*D42)</f>
        <v>0</v>
      </c>
      <c r="I44" s="235"/>
      <c r="J44" s="235"/>
      <c r="K44" s="235"/>
      <c r="L44" s="235"/>
      <c r="M44" s="235"/>
      <c r="N44" s="235"/>
    </row>
    <row r="45" ht="6" customHeight="1"/>
    <row r="46" spans="2:6" ht="15.75" customHeight="1">
      <c r="B46" s="210" t="s">
        <v>277</v>
      </c>
      <c r="D46" s="215">
        <f>D36*D34</f>
        <v>0</v>
      </c>
      <c r="F46" s="210" t="s">
        <v>23</v>
      </c>
    </row>
    <row r="47" ht="6" customHeight="1"/>
    <row r="48" spans="2:8" ht="15.75" customHeight="1">
      <c r="B48" s="210" t="s">
        <v>278</v>
      </c>
      <c r="D48" s="4">
        <v>0</v>
      </c>
      <c r="F48" s="210" t="s">
        <v>12</v>
      </c>
      <c r="H48" s="362" t="str">
        <f>IF('Key Parameters'!C3=1,IF(D48&lt;D6,"Error - Must be less than purchased weight!"," ")," ")</f>
        <v> </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password="8D83" sheet="1" objects="1" scenarios="1"/>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M39"/>
  <sheetViews>
    <sheetView showGridLines="0" showRowColHeaders="0" zoomScale="75" zoomScaleNormal="75" zoomScalePageLayoutView="0" workbookViewId="0" topLeftCell="A1">
      <selection activeCell="H38" sqref="H38"/>
    </sheetView>
  </sheetViews>
  <sheetFormatPr defaultColWidth="9.140625" defaultRowHeight="12.75"/>
  <cols>
    <col min="1" max="1" width="5.8515625" style="210" customWidth="1"/>
    <col min="2" max="2" width="49.57421875" style="210" customWidth="1"/>
    <col min="3" max="3" width="9.140625" style="210" customWidth="1"/>
    <col min="4" max="4" width="20.00390625" style="210" customWidth="1"/>
    <col min="5" max="5" width="2.7109375" style="210" customWidth="1"/>
    <col min="6" max="6" width="18.421875" style="210" customWidth="1"/>
    <col min="7" max="7" width="2.7109375" style="210" customWidth="1"/>
    <col min="8" max="8" width="18.421875" style="210" customWidth="1"/>
    <col min="9" max="9" width="2.7109375" style="210" customWidth="1"/>
    <col min="10" max="10" width="18.421875" style="210" customWidth="1"/>
    <col min="11" max="16384" width="9.140625" style="210" customWidth="1"/>
  </cols>
  <sheetData>
    <row r="1" ht="26.25">
      <c r="A1" s="211" t="s">
        <v>0</v>
      </c>
    </row>
    <row r="4" spans="1:4" ht="18.75">
      <c r="A4" s="212" t="s">
        <v>281</v>
      </c>
      <c r="D4" s="219"/>
    </row>
    <row r="5" spans="4:10" ht="31.5">
      <c r="D5" s="220" t="s">
        <v>164</v>
      </c>
      <c r="F5" s="221" t="s">
        <v>161</v>
      </c>
      <c r="H5" s="221" t="s">
        <v>162</v>
      </c>
      <c r="J5" s="339" t="s">
        <v>253</v>
      </c>
    </row>
    <row r="6" ht="6" customHeight="1">
      <c r="D6" s="220"/>
    </row>
    <row r="7" spans="2:13" ht="15.75">
      <c r="B7" s="210" t="s">
        <v>156</v>
      </c>
      <c r="D7" s="7">
        <v>0.15</v>
      </c>
      <c r="F7" s="6">
        <v>0</v>
      </c>
      <c r="H7" s="217">
        <f>($D$21*30)*D7</f>
        <v>0</v>
      </c>
      <c r="J7" s="217">
        <f>F7*H7</f>
        <v>0</v>
      </c>
      <c r="L7" s="222">
        <f>H7</f>
        <v>0</v>
      </c>
      <c r="M7" s="222">
        <f>J7</f>
        <v>0</v>
      </c>
    </row>
    <row r="8" spans="4:13" ht="6" customHeight="1">
      <c r="D8" s="219"/>
      <c r="F8" s="223"/>
      <c r="H8" s="224"/>
      <c r="J8" s="224"/>
      <c r="L8" s="222">
        <f>H9</f>
        <v>0</v>
      </c>
      <c r="M8" s="222">
        <f>J9</f>
        <v>0</v>
      </c>
    </row>
    <row r="9" spans="2:13" ht="15.75">
      <c r="B9" s="210" t="s">
        <v>157</v>
      </c>
      <c r="D9" s="7">
        <v>0.45</v>
      </c>
      <c r="F9" s="6">
        <v>0</v>
      </c>
      <c r="H9" s="217">
        <f>($D$21*30)*D9</f>
        <v>0</v>
      </c>
      <c r="J9" s="217">
        <f>(F9*H9)+J7</f>
        <v>0</v>
      </c>
      <c r="L9" s="222">
        <f>H11</f>
        <v>0</v>
      </c>
      <c r="M9" s="222">
        <f>J11</f>
        <v>0</v>
      </c>
    </row>
    <row r="10" spans="6:13" ht="6" customHeight="1">
      <c r="F10" s="225"/>
      <c r="H10" s="222"/>
      <c r="J10" s="222"/>
      <c r="L10" s="222">
        <f>H13</f>
        <v>0</v>
      </c>
      <c r="M10" s="222">
        <f>J13</f>
        <v>0</v>
      </c>
    </row>
    <row r="11" spans="2:13" ht="15.75">
      <c r="B11" s="210" t="s">
        <v>158</v>
      </c>
      <c r="D11" s="7">
        <v>0.25</v>
      </c>
      <c r="F11" s="6">
        <v>0</v>
      </c>
      <c r="H11" s="217">
        <f>($D$21*30)*D11</f>
        <v>0</v>
      </c>
      <c r="J11" s="217">
        <f>(F11*H11)+J9</f>
        <v>0</v>
      </c>
      <c r="L11" s="222">
        <f>H15</f>
        <v>0</v>
      </c>
      <c r="M11" s="222">
        <f>J15</f>
        <v>0</v>
      </c>
    </row>
    <row r="12" spans="6:10" ht="6" customHeight="1">
      <c r="F12" s="225"/>
      <c r="H12" s="222"/>
      <c r="J12" s="222"/>
    </row>
    <row r="13" spans="2:10" ht="15.75">
      <c r="B13" s="210" t="s">
        <v>159</v>
      </c>
      <c r="D13" s="7">
        <v>0.1</v>
      </c>
      <c r="F13" s="6">
        <v>0</v>
      </c>
      <c r="H13" s="217">
        <f>($D$21*30)*D13</f>
        <v>0</v>
      </c>
      <c r="J13" s="217">
        <f>(F13*H13)+J11</f>
        <v>0</v>
      </c>
    </row>
    <row r="14" spans="6:10" ht="6" customHeight="1">
      <c r="F14" s="225"/>
      <c r="H14" s="222"/>
      <c r="J14" s="222"/>
    </row>
    <row r="15" spans="2:10" ht="15.75">
      <c r="B15" s="210" t="s">
        <v>160</v>
      </c>
      <c r="D15" s="7">
        <v>0.05</v>
      </c>
      <c r="F15" s="6">
        <v>0</v>
      </c>
      <c r="H15" s="217">
        <f>($D$21*30)*D15</f>
        <v>0</v>
      </c>
      <c r="J15" s="217">
        <f>(F15*H15)+J13</f>
        <v>0</v>
      </c>
    </row>
    <row r="16" ht="6" customHeight="1"/>
    <row r="17" spans="2:10" ht="15.75">
      <c r="B17" s="210" t="s">
        <v>254</v>
      </c>
      <c r="D17" s="226" t="str">
        <f>IF(SUM(D7:D15)&lt;&gt;1,"Error"," ")</f>
        <v> </v>
      </c>
      <c r="F17" s="218">
        <f>IF(D37=0,0,J15/SUM(H7:H15))</f>
        <v>0</v>
      </c>
      <c r="H17" s="341" t="s">
        <v>12</v>
      </c>
      <c r="J17" s="340"/>
    </row>
    <row r="19" ht="18.75">
      <c r="A19" s="212" t="s">
        <v>11</v>
      </c>
    </row>
    <row r="21" spans="2:6" ht="15.75">
      <c r="B21" s="210" t="s">
        <v>7</v>
      </c>
      <c r="D21" s="363">
        <f>'Key Parameters'!C11</f>
        <v>0</v>
      </c>
      <c r="F21" s="210" t="s">
        <v>8</v>
      </c>
    </row>
    <row r="22" ht="6" customHeight="1"/>
    <row r="23" spans="2:6" ht="15.75">
      <c r="B23" s="210" t="s">
        <v>9</v>
      </c>
      <c r="D23" s="342">
        <v>0</v>
      </c>
      <c r="F23" s="210" t="s">
        <v>10</v>
      </c>
    </row>
    <row r="24" ht="6" customHeight="1"/>
    <row r="25" spans="2:6" ht="15.75">
      <c r="B25" s="210" t="s">
        <v>255</v>
      </c>
      <c r="D25" s="218">
        <f>IF('Key Parameters'!C3=1,'Juveniles &amp; Nursery'!D48,'Key Parameters'!C9)</f>
        <v>0</v>
      </c>
      <c r="F25" s="210" t="s">
        <v>12</v>
      </c>
    </row>
    <row r="26" ht="6" customHeight="1"/>
    <row r="27" spans="2:6" ht="15.75">
      <c r="B27" s="210" t="s">
        <v>140</v>
      </c>
      <c r="D27" s="218">
        <f>F17</f>
        <v>0</v>
      </c>
      <c r="F27" s="210" t="s">
        <v>13</v>
      </c>
    </row>
    <row r="28" ht="6" customHeight="1"/>
    <row r="29" spans="2:6" ht="15.75">
      <c r="B29" s="210" t="s">
        <v>14</v>
      </c>
      <c r="D29" s="214">
        <f>J15</f>
        <v>0</v>
      </c>
      <c r="F29" s="210" t="s">
        <v>12</v>
      </c>
    </row>
    <row r="30" ht="6" customHeight="1"/>
    <row r="31" spans="2:6" ht="15.75">
      <c r="B31" s="210" t="s">
        <v>239</v>
      </c>
      <c r="D31" s="214">
        <f>D25+D29</f>
        <v>0</v>
      </c>
      <c r="F31" s="210" t="s">
        <v>12</v>
      </c>
    </row>
    <row r="32" ht="6" customHeight="1"/>
    <row r="33" spans="2:4" ht="15.75">
      <c r="B33" s="210" t="s">
        <v>15</v>
      </c>
      <c r="D33" s="364">
        <f>'Key Parameters'!C13</f>
        <v>0</v>
      </c>
    </row>
    <row r="35" ht="18.75">
      <c r="A35" s="212" t="s">
        <v>18</v>
      </c>
    </row>
    <row r="37" spans="2:9" ht="15.75">
      <c r="B37" s="210" t="s">
        <v>19</v>
      </c>
      <c r="D37" s="325">
        <f>('Pond Description'!D30*D31)/1000</f>
        <v>0</v>
      </c>
      <c r="F37" s="210" t="s">
        <v>21</v>
      </c>
      <c r="H37" s="325">
        <f>IF(D31=0,0,D37/(D31/1000))</f>
        <v>0</v>
      </c>
      <c r="I37" s="210" t="s">
        <v>240</v>
      </c>
    </row>
    <row r="38" ht="6" customHeight="1"/>
    <row r="39" spans="2:6" ht="15.75">
      <c r="B39" s="210" t="s">
        <v>20</v>
      </c>
      <c r="D39" s="325">
        <f>D37/'Pond Description'!D22</f>
        <v>0</v>
      </c>
      <c r="F39" s="210" t="s">
        <v>21</v>
      </c>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D24"/>
  <sheetViews>
    <sheetView showGridLines="0" showRowColHeaders="0" zoomScale="75" zoomScaleNormal="75" zoomScalePageLayoutView="0" workbookViewId="0" topLeftCell="A1">
      <selection activeCell="D6" sqref="D6"/>
    </sheetView>
  </sheetViews>
  <sheetFormatPr defaultColWidth="9.140625" defaultRowHeight="12.75"/>
  <cols>
    <col min="1" max="1" width="9.140625" style="210" customWidth="1"/>
    <col min="2" max="2" width="12.57421875" style="210" customWidth="1"/>
    <col min="3" max="4" width="13.00390625" style="210" customWidth="1"/>
    <col min="5" max="10" width="13.57421875" style="210" customWidth="1"/>
    <col min="11" max="14" width="12.57421875" style="210" customWidth="1"/>
    <col min="15" max="16384" width="9.140625" style="210" customWidth="1"/>
  </cols>
  <sheetData>
    <row r="1" ht="26.25">
      <c r="A1" s="211" t="s">
        <v>213</v>
      </c>
    </row>
    <row r="4" spans="3:4" ht="15.75">
      <c r="C4" s="227" t="s">
        <v>26</v>
      </c>
      <c r="D4" s="227" t="s">
        <v>54</v>
      </c>
    </row>
    <row r="5" spans="2:4" ht="15.75">
      <c r="B5" s="228" t="s">
        <v>34</v>
      </c>
      <c r="C5" s="216">
        <f>'Production Tables'!BD6</f>
        <v>0</v>
      </c>
      <c r="D5" s="216">
        <f>IF(Processing!$E$4=1,(C5*'Production Parameters'!$D$31)/1000,((C5*'Production Parameters'!$D$31)/1000)*(1-Processing!$C$42))</f>
        <v>0</v>
      </c>
    </row>
    <row r="6" spans="2:4" ht="15.75">
      <c r="B6" s="228" t="s">
        <v>35</v>
      </c>
      <c r="C6" s="216">
        <f>'Production Tables'!BD7</f>
        <v>0</v>
      </c>
      <c r="D6" s="216">
        <f>IF(Processing!$E$4=1,(C6*'Production Parameters'!$D$31)/1000,((C6*'Production Parameters'!$D$31)/1000)*(1-Processing!$C$42))</f>
        <v>0</v>
      </c>
    </row>
    <row r="7" spans="2:4" ht="15.75">
      <c r="B7" s="228" t="s">
        <v>36</v>
      </c>
      <c r="C7" s="216">
        <f>'Production Tables'!BD8</f>
        <v>0</v>
      </c>
      <c r="D7" s="216">
        <f>IF(Processing!$E$4=1,(C7*'Production Parameters'!$D$31)/1000,((C7*'Production Parameters'!$D$31)/1000)*(1-Processing!$C$42))</f>
        <v>0</v>
      </c>
    </row>
    <row r="8" spans="2:4" ht="15.75">
      <c r="B8" s="228" t="s">
        <v>37</v>
      </c>
      <c r="C8" s="216">
        <f>'Production Tables'!BD9</f>
        <v>0</v>
      </c>
      <c r="D8" s="216">
        <f>IF(Processing!$E$4=1,(C8*'Production Parameters'!$D$31)/1000,((C8*'Production Parameters'!$D$31)/1000)*(1-Processing!$C$42))</f>
        <v>0</v>
      </c>
    </row>
    <row r="9" spans="2:4" ht="15.75">
      <c r="B9" s="228" t="s">
        <v>38</v>
      </c>
      <c r="C9" s="216">
        <f>'Production Tables'!BD10</f>
        <v>0</v>
      </c>
      <c r="D9" s="216">
        <f>IF(Processing!$E$4=1,(C9*'Production Parameters'!$D$31)/1000,((C9*'Production Parameters'!$D$31)/1000)*(1-Processing!$C$42))</f>
        <v>0</v>
      </c>
    </row>
    <row r="10" spans="2:4" ht="15.75">
      <c r="B10" s="228" t="s">
        <v>39</v>
      </c>
      <c r="C10" s="216">
        <f>'Production Tables'!BD11</f>
        <v>0</v>
      </c>
      <c r="D10" s="216">
        <f>IF(Processing!$E$4=1,(C10*'Production Parameters'!$D$31)/1000,((C10*'Production Parameters'!$D$31)/1000)*(1-Processing!$C$42))</f>
        <v>0</v>
      </c>
    </row>
    <row r="11" spans="2:4" ht="15.75">
      <c r="B11" s="228" t="s">
        <v>40</v>
      </c>
      <c r="C11" s="216">
        <f>'Production Tables'!BD12</f>
        <v>0</v>
      </c>
      <c r="D11" s="216">
        <f>IF(Processing!$E$4=1,(C11*'Production Parameters'!$D$31)/1000,((C11*'Production Parameters'!$D$31)/1000)*(1-Processing!$C$42))</f>
        <v>0</v>
      </c>
    </row>
    <row r="12" spans="2:4" ht="15.75">
      <c r="B12" s="228" t="s">
        <v>41</v>
      </c>
      <c r="C12" s="216">
        <f>'Production Tables'!BD13</f>
        <v>0</v>
      </c>
      <c r="D12" s="216">
        <f>IF(Processing!$E$4=1,(C12*'Production Parameters'!$D$31)/1000,((C12*'Production Parameters'!$D$31)/1000)*(1-Processing!$C$42))</f>
        <v>0</v>
      </c>
    </row>
    <row r="13" spans="2:4" ht="15.75">
      <c r="B13" s="228" t="s">
        <v>42</v>
      </c>
      <c r="C13" s="216">
        <f>'Production Tables'!BD14</f>
        <v>0</v>
      </c>
      <c r="D13" s="216">
        <f>IF(Processing!$E$4=1,(C13*'Production Parameters'!$D$31)/1000,((C13*'Production Parameters'!$D$31)/1000)*(1-Processing!$C$42))</f>
        <v>0</v>
      </c>
    </row>
    <row r="14" spans="2:4" ht="15.75">
      <c r="B14" s="228" t="s">
        <v>43</v>
      </c>
      <c r="C14" s="216">
        <f>'Production Tables'!BD15</f>
        <v>0</v>
      </c>
      <c r="D14" s="216">
        <f>IF(Processing!$E$4=1,(C14*'Production Parameters'!$D$31)/1000,((C14*'Production Parameters'!$D$31)/1000)*(1-Processing!$C$42))</f>
        <v>0</v>
      </c>
    </row>
    <row r="15" spans="2:4" ht="15.75">
      <c r="B15" s="228" t="s">
        <v>44</v>
      </c>
      <c r="C15" s="216">
        <f>'Production Tables'!BD16</f>
        <v>0</v>
      </c>
      <c r="D15" s="216">
        <f>IF(Processing!$E$4=1,(C15*'Production Parameters'!$D$31)/1000,((C15*'Production Parameters'!$D$31)/1000)*(1-Processing!$C$42))</f>
        <v>0</v>
      </c>
    </row>
    <row r="16" spans="2:4" ht="15.75">
      <c r="B16" s="228" t="s">
        <v>45</v>
      </c>
      <c r="C16" s="216">
        <f>'Production Tables'!BD17</f>
        <v>0</v>
      </c>
      <c r="D16" s="216">
        <f>IF(Processing!$E$4=1,(C16*'Production Parameters'!$D$31)/1000,((C16*'Production Parameters'!$D$31)/1000)*(1-Processing!$C$42))</f>
        <v>0</v>
      </c>
    </row>
    <row r="17" spans="2:4" ht="15.75">
      <c r="B17" s="228" t="s">
        <v>46</v>
      </c>
      <c r="C17" s="216">
        <f>'Production Tables'!BD18</f>
        <v>0</v>
      </c>
      <c r="D17" s="216">
        <f>IF(Processing!$E$4=1,(C17*'Production Parameters'!$D$31)/1000,((C17*'Production Parameters'!$D$31)/1000)*(1-Processing!$C$42))</f>
        <v>0</v>
      </c>
    </row>
    <row r="18" spans="2:4" ht="15.75">
      <c r="B18" s="228" t="s">
        <v>47</v>
      </c>
      <c r="C18" s="216">
        <f>'Production Tables'!BD19</f>
        <v>0</v>
      </c>
      <c r="D18" s="216">
        <f>IF(Processing!$E$4=1,(C18*'Production Parameters'!$D$31)/1000,((C18*'Production Parameters'!$D$31)/1000)*(1-Processing!$C$42))</f>
        <v>0</v>
      </c>
    </row>
    <row r="19" spans="2:4" ht="15.75">
      <c r="B19" s="228" t="s">
        <v>48</v>
      </c>
      <c r="C19" s="216">
        <f>'Production Tables'!BD20</f>
        <v>0</v>
      </c>
      <c r="D19" s="216">
        <f>IF(Processing!$E$4=1,(C19*'Production Parameters'!$D$31)/1000,((C19*'Production Parameters'!$D$31)/1000)*(1-Processing!$C$42))</f>
        <v>0</v>
      </c>
    </row>
    <row r="20" spans="2:4" ht="15.75">
      <c r="B20" s="228" t="s">
        <v>49</v>
      </c>
      <c r="C20" s="216">
        <f>'Production Tables'!BD21</f>
        <v>0</v>
      </c>
      <c r="D20" s="216">
        <f>IF(Processing!$E$4=1,(C20*'Production Parameters'!$D$31)/1000,((C20*'Production Parameters'!$D$31)/1000)*(1-Processing!$C$42))</f>
        <v>0</v>
      </c>
    </row>
    <row r="21" spans="2:4" ht="15.75">
      <c r="B21" s="228" t="s">
        <v>50</v>
      </c>
      <c r="C21" s="216">
        <f>'Production Tables'!BD22</f>
        <v>0</v>
      </c>
      <c r="D21" s="216">
        <f>IF(Processing!$E$4=1,(C21*'Production Parameters'!$D$31)/1000,((C21*'Production Parameters'!$D$31)/1000)*(1-Processing!$C$42))</f>
        <v>0</v>
      </c>
    </row>
    <row r="22" spans="2:4" ht="15.75">
      <c r="B22" s="228" t="s">
        <v>51</v>
      </c>
      <c r="C22" s="216">
        <f>'Production Tables'!BD23</f>
        <v>0</v>
      </c>
      <c r="D22" s="216">
        <f>IF(Processing!$E$4=1,(C22*'Production Parameters'!$D$31)/1000,((C22*'Production Parameters'!$D$31)/1000)*(1-Processing!$C$42))</f>
        <v>0</v>
      </c>
    </row>
    <row r="23" spans="2:4" ht="15.75">
      <c r="B23" s="228" t="s">
        <v>52</v>
      </c>
      <c r="C23" s="216">
        <f>'Production Tables'!BD24</f>
        <v>0</v>
      </c>
      <c r="D23" s="216">
        <f>IF(Processing!$E$4=1,(C23*'Production Parameters'!$D$31)/1000,((C23*'Production Parameters'!$D$31)/1000)*(1-Processing!$C$42))</f>
        <v>0</v>
      </c>
    </row>
    <row r="24" spans="2:4" ht="15.75">
      <c r="B24" s="228" t="s">
        <v>53</v>
      </c>
      <c r="C24" s="216">
        <f>'Production Tables'!BD25</f>
        <v>0</v>
      </c>
      <c r="D24" s="216">
        <f>IF(Processing!$E$4=1,(C24*'Production Parameters'!$D$31)/1000,((C24*'Production Parameters'!$D$31)/1000)*(1-Processing!$C$42))</f>
        <v>0</v>
      </c>
    </row>
  </sheetData>
  <sheetProtection password="8D83" sheet="1" objects="1" scenario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5"/>
  <dimension ref="A1:H92"/>
  <sheetViews>
    <sheetView showGridLines="0" showRowColHeaders="0" zoomScale="75" zoomScaleNormal="75" zoomScalePageLayoutView="0" workbookViewId="0" topLeftCell="A1">
      <selection activeCell="C83" sqref="C83"/>
    </sheetView>
  </sheetViews>
  <sheetFormatPr defaultColWidth="9.140625" defaultRowHeight="12.75"/>
  <cols>
    <col min="1" max="1" width="9.140625" style="210" customWidth="1"/>
    <col min="2" max="2" width="58.140625" style="210" customWidth="1"/>
    <col min="3" max="3" width="19.57421875" style="210" customWidth="1"/>
    <col min="4" max="4" width="1.28515625" style="210" customWidth="1"/>
    <col min="5" max="5" width="19.57421875" style="210" customWidth="1"/>
    <col min="6" max="6" width="1.8515625" style="210" customWidth="1"/>
    <col min="7" max="7" width="19.57421875" style="210" customWidth="1"/>
    <col min="8" max="8" width="9.140625" style="210" customWidth="1"/>
    <col min="9" max="9" width="13.7109375" style="210" customWidth="1"/>
    <col min="10" max="16384" width="9.140625" style="210" customWidth="1"/>
  </cols>
  <sheetData>
    <row r="1" spans="1:3" ht="26.25">
      <c r="A1" s="211" t="s">
        <v>148</v>
      </c>
      <c r="C1" s="230" t="s">
        <v>219</v>
      </c>
    </row>
    <row r="2" ht="15.75">
      <c r="C2" s="230" t="s">
        <v>220</v>
      </c>
    </row>
    <row r="4" spans="2:5" ht="15.75">
      <c r="B4" s="210" t="s">
        <v>218</v>
      </c>
      <c r="C4" s="365" t="str">
        <f>IF(E4=1,"yes","no")</f>
        <v>no</v>
      </c>
      <c r="E4" s="366">
        <v>2</v>
      </c>
    </row>
    <row r="5" ht="5.25" customHeight="1"/>
    <row r="6" spans="2:5" ht="15.75" customHeight="1">
      <c r="B6" s="210" t="s">
        <v>217</v>
      </c>
      <c r="C6" s="215">
        <f>'Production Parameters'!D37</f>
        <v>0</v>
      </c>
      <c r="E6" s="210" t="s">
        <v>21</v>
      </c>
    </row>
    <row r="7" ht="15.75" customHeight="1"/>
    <row r="8" spans="1:3" ht="15.75" customHeight="1">
      <c r="A8" s="324" t="s">
        <v>227</v>
      </c>
      <c r="C8" s="230"/>
    </row>
    <row r="9" ht="15.75" customHeight="1">
      <c r="C9" s="230"/>
    </row>
    <row r="10" spans="2:3" ht="15.75" customHeight="1">
      <c r="B10" s="210" t="s">
        <v>249</v>
      </c>
      <c r="C10" s="229">
        <f>IF(E4=1,(1/('Production Parameters'!D31/1000)),0)</f>
        <v>0</v>
      </c>
    </row>
    <row r="11" ht="15.75" customHeight="1">
      <c r="C11" s="230"/>
    </row>
    <row r="12" spans="1:4" ht="15.75" customHeight="1">
      <c r="A12" s="253" t="s">
        <v>228</v>
      </c>
      <c r="D12" s="221" t="s">
        <v>247</v>
      </c>
    </row>
    <row r="13" spans="3:7" ht="15.75" customHeight="1">
      <c r="C13" s="210" t="s">
        <v>241</v>
      </c>
      <c r="D13" s="227"/>
      <c r="E13" s="227" t="s">
        <v>242</v>
      </c>
      <c r="F13" s="227"/>
      <c r="G13" s="227" t="s">
        <v>245</v>
      </c>
    </row>
    <row r="14" spans="2:7" ht="15.75" customHeight="1">
      <c r="B14" s="210" t="s">
        <v>144</v>
      </c>
      <c r="C14" s="6">
        <v>1</v>
      </c>
      <c r="E14" s="328">
        <v>2</v>
      </c>
      <c r="F14" s="230"/>
      <c r="G14" s="215">
        <f>IF(E4=2,0,IF(C10&lt;=E14,C6,0))</f>
        <v>0</v>
      </c>
    </row>
    <row r="15" spans="2:7" ht="15.75" customHeight="1">
      <c r="B15" s="210" t="s">
        <v>145</v>
      </c>
      <c r="C15" s="6">
        <v>2.1</v>
      </c>
      <c r="E15" s="328">
        <v>4</v>
      </c>
      <c r="F15" s="230"/>
      <c r="G15" s="215">
        <f>IF(E4=2,0,IF(G14=0,IF(C10&lt;E15,C6,0),0))</f>
        <v>0</v>
      </c>
    </row>
    <row r="16" spans="2:7" ht="15.75" customHeight="1">
      <c r="B16" s="210" t="s">
        <v>244</v>
      </c>
      <c r="C16" s="6">
        <v>4.1</v>
      </c>
      <c r="E16" s="329" t="s">
        <v>243</v>
      </c>
      <c r="F16" s="230"/>
      <c r="G16" s="215">
        <f>IF(E4=2,0,IF(G15+G14=0,C6,0))</f>
        <v>0</v>
      </c>
    </row>
    <row r="17" ht="15.75" customHeight="1"/>
    <row r="18" ht="15.75" customHeight="1">
      <c r="A18" s="253" t="s">
        <v>149</v>
      </c>
    </row>
    <row r="19" ht="6" customHeight="1"/>
    <row r="20" spans="2:5" ht="15.75" customHeight="1">
      <c r="B20" s="210" t="s">
        <v>214</v>
      </c>
      <c r="C20" s="10">
        <v>0</v>
      </c>
      <c r="E20" s="210" t="s">
        <v>21</v>
      </c>
    </row>
    <row r="21" ht="6" customHeight="1"/>
    <row r="22" spans="2:3" ht="15.75" customHeight="1">
      <c r="B22" s="210" t="s">
        <v>150</v>
      </c>
      <c r="C22" s="345">
        <v>0</v>
      </c>
    </row>
    <row r="23" ht="6" customHeight="1"/>
    <row r="24" spans="2:3" ht="15.75" customHeight="1">
      <c r="B24" s="210" t="s">
        <v>151</v>
      </c>
      <c r="C24" s="215">
        <f>IF(E4=2,0,C6/C20)</f>
        <v>0</v>
      </c>
    </row>
    <row r="25" ht="6" customHeight="1"/>
    <row r="26" spans="2:3" ht="15.75" customHeight="1">
      <c r="B26" s="210" t="s">
        <v>152</v>
      </c>
      <c r="C26" s="344">
        <f>C22*C24</f>
        <v>0</v>
      </c>
    </row>
    <row r="27" ht="15.75" customHeight="1"/>
    <row r="28" ht="15.75" customHeight="1">
      <c r="A28" s="253" t="s">
        <v>153</v>
      </c>
    </row>
    <row r="29" ht="6" customHeight="1"/>
    <row r="30" spans="2:5" ht="15.75" customHeight="1">
      <c r="B30" s="210" t="s">
        <v>154</v>
      </c>
      <c r="C30" s="345">
        <v>0</v>
      </c>
      <c r="E30" s="210" t="s">
        <v>25</v>
      </c>
    </row>
    <row r="31" ht="6" customHeight="1"/>
    <row r="32" spans="2:3" ht="15.75" customHeight="1">
      <c r="B32" s="210" t="s">
        <v>155</v>
      </c>
      <c r="C32" s="344">
        <f>IF(E4=2,0,C6*C30)</f>
        <v>0</v>
      </c>
    </row>
    <row r="33" ht="15.75" customHeight="1"/>
    <row r="34" spans="1:3" ht="15.75" customHeight="1">
      <c r="A34" s="253" t="s">
        <v>256</v>
      </c>
      <c r="C34" s="346">
        <f>C26+C32</f>
        <v>0</v>
      </c>
    </row>
    <row r="35" ht="15.75" customHeight="1"/>
    <row r="36" ht="15.75" customHeight="1">
      <c r="A36" s="324" t="s">
        <v>302</v>
      </c>
    </row>
    <row r="37" ht="15.75" customHeight="1"/>
    <row r="38" spans="2:3" ht="15.75" customHeight="1">
      <c r="B38" s="210" t="s">
        <v>250</v>
      </c>
      <c r="C38" s="229">
        <f>IF(C46=0,0,1/(C46/1000))</f>
        <v>0</v>
      </c>
    </row>
    <row r="39" ht="15.75" customHeight="1"/>
    <row r="40" ht="15.75" customHeight="1">
      <c r="A40" s="253" t="s">
        <v>143</v>
      </c>
    </row>
    <row r="41" ht="6" customHeight="1"/>
    <row r="42" spans="2:3" ht="15.75" customHeight="1">
      <c r="B42" s="210" t="s">
        <v>141</v>
      </c>
      <c r="C42" s="7">
        <v>0</v>
      </c>
    </row>
    <row r="43" ht="6" customHeight="1"/>
    <row r="44" spans="2:5" ht="15.75" customHeight="1">
      <c r="B44" s="210" t="s">
        <v>142</v>
      </c>
      <c r="C44" s="214">
        <f>IF(E4=1,0,(1-C42)*C6)</f>
        <v>0</v>
      </c>
      <c r="E44" s="210" t="s">
        <v>21</v>
      </c>
    </row>
    <row r="45" spans="3:6" ht="6" customHeight="1">
      <c r="C45" s="323"/>
      <c r="E45" s="223"/>
      <c r="F45" s="230"/>
    </row>
    <row r="46" spans="2:6" ht="15.75">
      <c r="B46" s="210" t="s">
        <v>248</v>
      </c>
      <c r="C46" s="214">
        <f>IF(E4=1,0,(1-C42)*'Production Parameters'!D31)</f>
        <v>0</v>
      </c>
      <c r="E46" s="210" t="s">
        <v>12</v>
      </c>
      <c r="F46" s="230"/>
    </row>
    <row r="47" spans="3:6" ht="15.75">
      <c r="C47" s="323"/>
      <c r="E47" s="223"/>
      <c r="F47" s="230"/>
    </row>
    <row r="48" spans="1:6" ht="15.75">
      <c r="A48" s="253" t="s">
        <v>229</v>
      </c>
      <c r="C48" s="323"/>
      <c r="E48" s="223"/>
      <c r="F48" s="230"/>
    </row>
    <row r="49" spans="3:6" ht="6" customHeight="1">
      <c r="C49" s="323"/>
      <c r="E49" s="223"/>
      <c r="F49" s="230"/>
    </row>
    <row r="50" spans="2:7" ht="15.75">
      <c r="B50" s="210" t="s">
        <v>230</v>
      </c>
      <c r="C50" s="210" t="s">
        <v>303</v>
      </c>
      <c r="E50" s="10">
        <v>0</v>
      </c>
      <c r="G50" s="327" t="s">
        <v>231</v>
      </c>
    </row>
    <row r="51" spans="5:6" ht="6" customHeight="1">
      <c r="E51" s="327"/>
      <c r="F51" s="230"/>
    </row>
    <row r="52" spans="3:7" ht="15.75">
      <c r="C52" s="210" t="s">
        <v>304</v>
      </c>
      <c r="E52" s="10">
        <v>0</v>
      </c>
      <c r="G52" s="327" t="s">
        <v>231</v>
      </c>
    </row>
    <row r="53" spans="5:6" ht="6" customHeight="1">
      <c r="E53" s="327"/>
      <c r="F53" s="230"/>
    </row>
    <row r="54" spans="3:7" ht="15.75">
      <c r="C54" s="210" t="s">
        <v>305</v>
      </c>
      <c r="E54" s="10">
        <v>0</v>
      </c>
      <c r="G54" s="327" t="s">
        <v>231</v>
      </c>
    </row>
    <row r="55" spans="3:6" ht="6" customHeight="1">
      <c r="C55" s="242"/>
      <c r="E55" s="223"/>
      <c r="F55" s="230"/>
    </row>
    <row r="56" spans="3:7" ht="15.75">
      <c r="C56" s="389" t="s">
        <v>306</v>
      </c>
      <c r="E56" s="10">
        <v>0</v>
      </c>
      <c r="G56" s="327" t="s">
        <v>231</v>
      </c>
    </row>
    <row r="57" spans="3:6" ht="6" customHeight="1">
      <c r="C57" s="389"/>
      <c r="E57" s="223"/>
      <c r="F57" s="230"/>
    </row>
    <row r="58" spans="3:7" ht="15.75">
      <c r="C58" s="389" t="s">
        <v>307</v>
      </c>
      <c r="E58" s="10">
        <v>0</v>
      </c>
      <c r="G58" s="327" t="s">
        <v>231</v>
      </c>
    </row>
    <row r="59" spans="3:6" ht="6" customHeight="1">
      <c r="C59" s="242"/>
      <c r="E59" s="223"/>
      <c r="F59" s="230"/>
    </row>
    <row r="60" spans="2:7" ht="15.75">
      <c r="B60" s="210" t="s">
        <v>233</v>
      </c>
      <c r="E60" s="326">
        <f>IF(E4=1,0,(C6/1000)*SUM(E50:E58))</f>
        <v>0</v>
      </c>
      <c r="G60" s="327" t="s">
        <v>231</v>
      </c>
    </row>
    <row r="61" spans="3:6" ht="6" customHeight="1">
      <c r="C61" s="323"/>
      <c r="E61" s="223"/>
      <c r="F61" s="230"/>
    </row>
    <row r="62" spans="2:7" ht="15.75">
      <c r="B62" s="210" t="s">
        <v>232</v>
      </c>
      <c r="E62" s="345">
        <v>0</v>
      </c>
      <c r="F62" s="230"/>
      <c r="G62" s="210" t="s">
        <v>319</v>
      </c>
    </row>
    <row r="63" spans="3:6" ht="6" customHeight="1">
      <c r="C63" s="323"/>
      <c r="E63" s="223"/>
      <c r="F63" s="230"/>
    </row>
    <row r="64" spans="2:6" ht="15.75">
      <c r="B64" s="210" t="s">
        <v>308</v>
      </c>
      <c r="C64" s="390" t="s">
        <v>309</v>
      </c>
      <c r="E64" s="345">
        <v>0</v>
      </c>
      <c r="F64" s="230"/>
    </row>
    <row r="65" spans="3:6" ht="6" customHeight="1">
      <c r="C65" s="390"/>
      <c r="E65" s="391"/>
      <c r="F65" s="230"/>
    </row>
    <row r="66" spans="3:6" ht="15.75">
      <c r="C66" s="390" t="s">
        <v>310</v>
      </c>
      <c r="E66" s="345">
        <v>0</v>
      </c>
      <c r="F66" s="230"/>
    </row>
    <row r="67" spans="3:6" ht="6" customHeight="1">
      <c r="C67" s="390"/>
      <c r="E67" s="391"/>
      <c r="F67" s="230"/>
    </row>
    <row r="68" spans="3:6" ht="15.75">
      <c r="C68" s="390" t="s">
        <v>311</v>
      </c>
      <c r="E68" s="345">
        <v>0</v>
      </c>
      <c r="F68" s="230"/>
    </row>
    <row r="69" spans="3:6" ht="15.75">
      <c r="C69" s="323"/>
      <c r="E69" s="223"/>
      <c r="F69" s="230"/>
    </row>
    <row r="70" spans="1:4" ht="15.75">
      <c r="A70" s="253" t="s">
        <v>226</v>
      </c>
      <c r="D70" s="221" t="s">
        <v>246</v>
      </c>
    </row>
    <row r="71" spans="3:7" ht="15.75">
      <c r="C71" s="227" t="s">
        <v>241</v>
      </c>
      <c r="D71" s="227"/>
      <c r="E71" s="227" t="s">
        <v>242</v>
      </c>
      <c r="F71" s="227"/>
      <c r="G71" s="227" t="s">
        <v>245</v>
      </c>
    </row>
    <row r="72" spans="2:8" ht="15.75">
      <c r="B72" s="210" t="s">
        <v>144</v>
      </c>
      <c r="C72" s="6">
        <v>10</v>
      </c>
      <c r="E72" s="328">
        <v>15</v>
      </c>
      <c r="F72" s="230"/>
      <c r="G72" s="215">
        <f>IF(C38&lt;=E72,C44,0)</f>
        <v>0</v>
      </c>
      <c r="H72" s="210" t="s">
        <v>208</v>
      </c>
    </row>
    <row r="73" spans="2:8" ht="15.75">
      <c r="B73" s="210" t="s">
        <v>145</v>
      </c>
      <c r="C73" s="6">
        <v>16</v>
      </c>
      <c r="E73" s="328">
        <v>20</v>
      </c>
      <c r="F73" s="230"/>
      <c r="G73" s="215">
        <f>IF(G72=0,IF(C38&lt;E73,C44,0),0)</f>
        <v>0</v>
      </c>
      <c r="H73" s="210" t="s">
        <v>208</v>
      </c>
    </row>
    <row r="74" spans="2:8" ht="15.75">
      <c r="B74" s="210" t="s">
        <v>146</v>
      </c>
      <c r="C74" s="6">
        <v>21</v>
      </c>
      <c r="E74" s="329" t="s">
        <v>243</v>
      </c>
      <c r="F74" s="230"/>
      <c r="G74" s="215">
        <f>IF(G73+G72=0,C44,0)</f>
        <v>0</v>
      </c>
      <c r="H74" s="210" t="s">
        <v>208</v>
      </c>
    </row>
    <row r="75" ht="15.75">
      <c r="C75" s="226"/>
    </row>
    <row r="76" ht="15.75">
      <c r="A76" s="253" t="s">
        <v>149</v>
      </c>
    </row>
    <row r="77" ht="6" customHeight="1"/>
    <row r="78" spans="2:5" ht="15.75">
      <c r="B78" s="210" t="s">
        <v>214</v>
      </c>
      <c r="C78" s="10">
        <v>0</v>
      </c>
      <c r="E78" s="210" t="s">
        <v>21</v>
      </c>
    </row>
    <row r="79" ht="6" customHeight="1"/>
    <row r="80" spans="2:3" ht="15.75">
      <c r="B80" s="210" t="s">
        <v>150</v>
      </c>
      <c r="C80" s="345">
        <v>0</v>
      </c>
    </row>
    <row r="81" ht="6" customHeight="1"/>
    <row r="82" spans="2:3" ht="15.75">
      <c r="B82" s="210" t="s">
        <v>151</v>
      </c>
      <c r="C82" s="215">
        <f>IF(C78=0,0,C44/C78)</f>
        <v>0</v>
      </c>
    </row>
    <row r="83" ht="6" customHeight="1"/>
    <row r="84" spans="2:3" ht="15.75">
      <c r="B84" s="210" t="s">
        <v>152</v>
      </c>
      <c r="C84" s="344">
        <f>C80*C82</f>
        <v>0</v>
      </c>
    </row>
    <row r="86" ht="15.75">
      <c r="A86" s="253" t="s">
        <v>153</v>
      </c>
    </row>
    <row r="87" ht="6" customHeight="1"/>
    <row r="88" spans="2:5" ht="15.75">
      <c r="B88" s="210" t="s">
        <v>154</v>
      </c>
      <c r="C88" s="345">
        <v>0</v>
      </c>
      <c r="E88" s="210" t="s">
        <v>25</v>
      </c>
    </row>
    <row r="89" ht="6" customHeight="1"/>
    <row r="90" spans="2:3" ht="15.75">
      <c r="B90" s="210" t="s">
        <v>155</v>
      </c>
      <c r="C90" s="344">
        <f>C88*C44</f>
        <v>0</v>
      </c>
    </row>
    <row r="92" spans="1:3" ht="15.75">
      <c r="A92" s="253" t="s">
        <v>257</v>
      </c>
      <c r="C92" s="346">
        <f>(E62*E60)+C84+C90+SUM(E64:E68)</f>
        <v>0</v>
      </c>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8"/>
  <dimension ref="A1:K19"/>
  <sheetViews>
    <sheetView showGridLines="0" showRowColHeaders="0" zoomScale="75" zoomScaleNormal="75" zoomScalePageLayoutView="0" workbookViewId="0" topLeftCell="A1">
      <selection activeCell="K14" sqref="K14"/>
    </sheetView>
  </sheetViews>
  <sheetFormatPr defaultColWidth="9.140625" defaultRowHeight="12.75"/>
  <cols>
    <col min="1" max="1" width="9.140625" style="210" customWidth="1"/>
    <col min="2" max="2" width="10.28125" style="210" bestFit="1" customWidth="1"/>
    <col min="3" max="3" width="9.140625" style="210" customWidth="1"/>
    <col min="4" max="4" width="23.7109375" style="210" customWidth="1"/>
    <col min="5" max="5" width="1.7109375" style="210" customWidth="1"/>
    <col min="6" max="6" width="23.7109375" style="210" customWidth="1"/>
    <col min="7" max="7" width="1.7109375" style="210" customWidth="1"/>
    <col min="8" max="8" width="23.7109375" style="210" customWidth="1"/>
    <col min="9" max="9" width="1.57421875" style="210" customWidth="1"/>
    <col min="10" max="10" width="9.140625" style="210" customWidth="1"/>
    <col min="11" max="11" width="18.7109375" style="210" customWidth="1"/>
    <col min="12" max="16384" width="9.140625" style="210" customWidth="1"/>
  </cols>
  <sheetData>
    <row r="1" ht="26.25">
      <c r="A1" s="211" t="s">
        <v>110</v>
      </c>
    </row>
    <row r="4" ht="18.75">
      <c r="A4" s="212" t="s">
        <v>224</v>
      </c>
    </row>
    <row r="6" spans="4:8" ht="15.75">
      <c r="D6" s="227" t="s">
        <v>25</v>
      </c>
      <c r="F6" s="227" t="s">
        <v>147</v>
      </c>
      <c r="H6" s="227" t="s">
        <v>110</v>
      </c>
    </row>
    <row r="7" spans="2:8" ht="15.75">
      <c r="B7" s="210" t="s">
        <v>144</v>
      </c>
      <c r="D7" s="368">
        <f>'Key Parameters'!C20</f>
        <v>0</v>
      </c>
      <c r="F7" s="215">
        <f>Processing!G14</f>
        <v>0</v>
      </c>
      <c r="H7" s="344">
        <f>D7*F7</f>
        <v>0</v>
      </c>
    </row>
    <row r="8" spans="2:8" ht="15.75">
      <c r="B8" s="210" t="s">
        <v>145</v>
      </c>
      <c r="D8" s="368">
        <f>'Key Parameters'!C21</f>
        <v>0</v>
      </c>
      <c r="F8" s="215">
        <f>Processing!G15</f>
        <v>0</v>
      </c>
      <c r="H8" s="344">
        <f>D8*F8</f>
        <v>0</v>
      </c>
    </row>
    <row r="9" spans="2:8" ht="15.75">
      <c r="B9" s="210" t="s">
        <v>146</v>
      </c>
      <c r="D9" s="368">
        <f>'Key Parameters'!C22</f>
        <v>0</v>
      </c>
      <c r="F9" s="215">
        <f>Processing!G16</f>
        <v>0</v>
      </c>
      <c r="H9" s="344">
        <f>D9*F9</f>
        <v>0</v>
      </c>
    </row>
    <row r="10" ht="6" customHeight="1">
      <c r="H10" s="331"/>
    </row>
    <row r="11" spans="4:11" ht="15.75">
      <c r="D11" s="210" t="s">
        <v>225</v>
      </c>
      <c r="H11" s="346">
        <f>SUM(H7:H9)</f>
        <v>0</v>
      </c>
      <c r="K11" s="347"/>
    </row>
    <row r="12" spans="8:11" ht="15.75">
      <c r="H12" s="331"/>
      <c r="K12" s="235"/>
    </row>
    <row r="13" spans="1:11" ht="18.75">
      <c r="A13" s="212" t="s">
        <v>223</v>
      </c>
      <c r="H13" s="331"/>
      <c r="K13" s="235"/>
    </row>
    <row r="14" spans="4:11" ht="15.75">
      <c r="D14" s="227" t="s">
        <v>25</v>
      </c>
      <c r="F14" s="227" t="s">
        <v>147</v>
      </c>
      <c r="H14" s="332" t="s">
        <v>110</v>
      </c>
      <c r="K14" s="235"/>
    </row>
    <row r="15" spans="2:11" ht="15.75">
      <c r="B15" s="210" t="s">
        <v>144</v>
      </c>
      <c r="D15" s="368">
        <f>'Key Parameters'!E20</f>
        <v>0</v>
      </c>
      <c r="F15" s="229">
        <f>Processing!G72</f>
        <v>0</v>
      </c>
      <c r="H15" s="344">
        <f>D15*F15</f>
        <v>0</v>
      </c>
      <c r="I15" s="231">
        <f>F15</f>
        <v>0</v>
      </c>
      <c r="K15" s="235"/>
    </row>
    <row r="16" spans="2:11" ht="15.75">
      <c r="B16" s="210" t="s">
        <v>145</v>
      </c>
      <c r="D16" s="368">
        <f>'Key Parameters'!E21</f>
        <v>0</v>
      </c>
      <c r="F16" s="229">
        <f>Processing!G73</f>
        <v>0</v>
      </c>
      <c r="H16" s="344">
        <f>D16*F16</f>
        <v>0</v>
      </c>
      <c r="I16" s="231">
        <f>F16</f>
        <v>0</v>
      </c>
      <c r="K16" s="235"/>
    </row>
    <row r="17" spans="2:11" ht="15.75">
      <c r="B17" s="210" t="s">
        <v>146</v>
      </c>
      <c r="D17" s="368">
        <f>'Key Parameters'!E22</f>
        <v>0</v>
      </c>
      <c r="F17" s="229">
        <f>Processing!G74</f>
        <v>0</v>
      </c>
      <c r="H17" s="344">
        <f>D17*F17</f>
        <v>0</v>
      </c>
      <c r="I17" s="231">
        <f>F17</f>
        <v>0</v>
      </c>
      <c r="K17" s="235"/>
    </row>
    <row r="18" spans="8:11" ht="6" customHeight="1">
      <c r="H18" s="331"/>
      <c r="K18" s="235"/>
    </row>
    <row r="19" spans="4:11" ht="15.75">
      <c r="D19" s="210" t="s">
        <v>225</v>
      </c>
      <c r="H19" s="346">
        <f>SUM(H15:H17)</f>
        <v>0</v>
      </c>
      <c r="K19" s="347"/>
    </row>
  </sheetData>
  <sheetProtection password="8D83" sheet="1" objects="1" scenarios="1"/>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Primary Industries &amp;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dc:creator>
  <cp:keywords/>
  <dc:description/>
  <cp:lastModifiedBy>johnstb</cp:lastModifiedBy>
  <cp:lastPrinted>2006-04-04T04:34:50Z</cp:lastPrinted>
  <dcterms:created xsi:type="dcterms:W3CDTF">2006-02-27T03:22:51Z</dcterms:created>
  <dcterms:modified xsi:type="dcterms:W3CDTF">2011-02-12T23:23:52Z</dcterms:modified>
  <cp:category/>
  <cp:version/>
  <cp:contentType/>
  <cp:contentStatus/>
</cp:coreProperties>
</file>